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firstSheet="2" activeTab="2"/>
  </bookViews>
  <sheets>
    <sheet name="cf" sheetId="4" state="hidden" r:id="rId1"/>
    <sheet name="Op Budget 2016" sheetId="6" state="hidden" r:id="rId2"/>
    <sheet name="Template" sheetId="5" r:id="rId3"/>
    <sheet name="Min Rent 2016" sheetId="9" r:id="rId4"/>
    <sheet name="CAM 2016" sheetId="10" r:id="rId5"/>
    <sheet name="RETaxes 2016" sheetId="11" r:id="rId6"/>
    <sheet name="Ins 2016" sheetId="12" r:id="rId7"/>
    <sheet name="Assumptions" sheetId="7" r:id="rId8"/>
    <sheet name="Broker's Comm" sheetId="8" r:id="rId9"/>
  </sheets>
  <externalReferences>
    <externalReference r:id="rId10"/>
  </externalReferences>
  <definedNames>
    <definedName name="_xlnm.Print_Area" localSheetId="2">Template!$A$1:$S$194</definedName>
    <definedName name="_xlnm.Print_Titles" localSheetId="0">cf!$1:$5</definedName>
    <definedName name="_xlnm.Print_Titles" localSheetId="2">Template!$1:$5</definedName>
  </definedNames>
  <calcPr calcId="152511"/>
</workbook>
</file>

<file path=xl/calcChain.xml><?xml version="1.0" encoding="utf-8"?>
<calcChain xmlns="http://schemas.openxmlformats.org/spreadsheetml/2006/main">
  <c r="G182" i="5" l="1"/>
  <c r="D34" i="5"/>
  <c r="E34" i="5"/>
  <c r="F34" i="5"/>
  <c r="G34" i="5"/>
  <c r="H34" i="5"/>
  <c r="I34" i="5"/>
  <c r="J34" i="5"/>
  <c r="K34" i="5"/>
  <c r="L34" i="5"/>
  <c r="M34" i="5"/>
  <c r="N34" i="5"/>
  <c r="O34" i="5"/>
  <c r="E25" i="5"/>
  <c r="F25" i="5"/>
  <c r="G25" i="5"/>
  <c r="H25" i="5"/>
  <c r="I25" i="5"/>
  <c r="J25" i="5"/>
  <c r="K25" i="5"/>
  <c r="L25" i="5"/>
  <c r="M25" i="5"/>
  <c r="N25" i="5"/>
  <c r="O25" i="5"/>
  <c r="D25" i="5"/>
  <c r="C170" i="5"/>
  <c r="C171" i="5"/>
  <c r="C172" i="5"/>
  <c r="C169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R182" i="5" l="1"/>
  <c r="D142" i="5"/>
  <c r="E142" i="5"/>
  <c r="F142" i="5"/>
  <c r="G142" i="5"/>
  <c r="H142" i="5"/>
  <c r="I142" i="5"/>
  <c r="J142" i="5"/>
  <c r="K142" i="5"/>
  <c r="L142" i="5"/>
  <c r="M142" i="5"/>
  <c r="N142" i="5"/>
  <c r="O142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F186" i="5"/>
  <c r="E186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C61" i="5"/>
  <c r="P146" i="5"/>
  <c r="C146" i="5"/>
  <c r="C145" i="5"/>
  <c r="C153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C135" i="5"/>
  <c r="C136" i="5" s="1"/>
  <c r="C64" i="5" l="1"/>
  <c r="O189" i="5"/>
  <c r="C104" i="5"/>
  <c r="D96" i="5"/>
  <c r="F96" i="5" s="1"/>
  <c r="H96" i="5" s="1"/>
  <c r="J96" i="5" s="1"/>
  <c r="L96" i="5" s="1"/>
  <c r="N96" i="5" s="1"/>
  <c r="D95" i="5"/>
  <c r="F95" i="5" s="1"/>
  <c r="H95" i="5" s="1"/>
  <c r="J95" i="5" s="1"/>
  <c r="L95" i="5" s="1"/>
  <c r="N95" i="5" s="1"/>
  <c r="D94" i="5"/>
  <c r="F94" i="5" s="1"/>
  <c r="H94" i="5" s="1"/>
  <c r="J94" i="5" s="1"/>
  <c r="L94" i="5" s="1"/>
  <c r="N94" i="5" s="1"/>
  <c r="D90" i="5"/>
  <c r="F90" i="5" s="1"/>
  <c r="H90" i="5" s="1"/>
  <c r="J90" i="5" s="1"/>
  <c r="L90" i="5" s="1"/>
  <c r="N90" i="5" s="1"/>
  <c r="D91" i="5"/>
  <c r="F91" i="5" s="1"/>
  <c r="H91" i="5" s="1"/>
  <c r="J91" i="5" s="1"/>
  <c r="L91" i="5" s="1"/>
  <c r="N91" i="5" s="1"/>
  <c r="D92" i="5"/>
  <c r="F92" i="5" s="1"/>
  <c r="H92" i="5" s="1"/>
  <c r="J92" i="5" s="1"/>
  <c r="L92" i="5" s="1"/>
  <c r="N92" i="5" s="1"/>
  <c r="D85" i="5"/>
  <c r="F85" i="5" s="1"/>
  <c r="H85" i="5" s="1"/>
  <c r="J85" i="5" s="1"/>
  <c r="L85" i="5" s="1"/>
  <c r="N85" i="5" s="1"/>
  <c r="D86" i="5"/>
  <c r="F86" i="5" s="1"/>
  <c r="H86" i="5" s="1"/>
  <c r="J86" i="5" s="1"/>
  <c r="L86" i="5" s="1"/>
  <c r="N86" i="5" s="1"/>
  <c r="D87" i="5"/>
  <c r="F87" i="5" s="1"/>
  <c r="H87" i="5" s="1"/>
  <c r="J87" i="5" s="1"/>
  <c r="L87" i="5" s="1"/>
  <c r="N87" i="5" s="1"/>
  <c r="E99" i="5"/>
  <c r="F99" i="5"/>
  <c r="G99" i="5"/>
  <c r="H99" i="5"/>
  <c r="I99" i="5"/>
  <c r="J99" i="5"/>
  <c r="K99" i="5"/>
  <c r="L99" i="5"/>
  <c r="M99" i="5"/>
  <c r="N99" i="5"/>
  <c r="O99" i="5"/>
  <c r="D99" i="5"/>
  <c r="O73" i="5"/>
  <c r="O74" i="5"/>
  <c r="O75" i="5"/>
  <c r="O76" i="5"/>
  <c r="O77" i="5"/>
  <c r="O78" i="5"/>
  <c r="O79" i="5"/>
  <c r="E80" i="5"/>
  <c r="F80" i="5"/>
  <c r="G80" i="5"/>
  <c r="H80" i="5"/>
  <c r="I80" i="5"/>
  <c r="J80" i="5"/>
  <c r="K80" i="5"/>
  <c r="L80" i="5"/>
  <c r="M80" i="5"/>
  <c r="N80" i="5"/>
  <c r="D80" i="5"/>
  <c r="E73" i="5"/>
  <c r="F73" i="5"/>
  <c r="G73" i="5"/>
  <c r="H73" i="5"/>
  <c r="I73" i="5"/>
  <c r="J73" i="5"/>
  <c r="K73" i="5"/>
  <c r="L73" i="5"/>
  <c r="M73" i="5"/>
  <c r="N73" i="5"/>
  <c r="E74" i="5"/>
  <c r="F74" i="5"/>
  <c r="G74" i="5"/>
  <c r="H74" i="5"/>
  <c r="I74" i="5"/>
  <c r="J74" i="5"/>
  <c r="K74" i="5"/>
  <c r="L74" i="5"/>
  <c r="M74" i="5"/>
  <c r="N74" i="5"/>
  <c r="E75" i="5"/>
  <c r="F75" i="5"/>
  <c r="G75" i="5"/>
  <c r="H75" i="5"/>
  <c r="I75" i="5"/>
  <c r="J75" i="5"/>
  <c r="K75" i="5"/>
  <c r="L75" i="5"/>
  <c r="M75" i="5"/>
  <c r="N75" i="5"/>
  <c r="E76" i="5"/>
  <c r="F76" i="5"/>
  <c r="G76" i="5"/>
  <c r="H76" i="5"/>
  <c r="I76" i="5"/>
  <c r="J76" i="5"/>
  <c r="K76" i="5"/>
  <c r="L76" i="5"/>
  <c r="M76" i="5"/>
  <c r="N76" i="5"/>
  <c r="E77" i="5"/>
  <c r="F77" i="5"/>
  <c r="G77" i="5"/>
  <c r="H77" i="5"/>
  <c r="I77" i="5"/>
  <c r="J77" i="5"/>
  <c r="K77" i="5"/>
  <c r="L77" i="5"/>
  <c r="M77" i="5"/>
  <c r="N77" i="5"/>
  <c r="E78" i="5"/>
  <c r="F78" i="5"/>
  <c r="G78" i="5"/>
  <c r="H78" i="5"/>
  <c r="I78" i="5"/>
  <c r="J78" i="5"/>
  <c r="K78" i="5"/>
  <c r="L78" i="5"/>
  <c r="M78" i="5"/>
  <c r="N78" i="5"/>
  <c r="E79" i="5"/>
  <c r="F79" i="5"/>
  <c r="G79" i="5"/>
  <c r="H79" i="5"/>
  <c r="I79" i="5"/>
  <c r="J79" i="5"/>
  <c r="K79" i="5"/>
  <c r="L79" i="5"/>
  <c r="M79" i="5"/>
  <c r="N79" i="5"/>
  <c r="D79" i="5"/>
  <c r="D78" i="5"/>
  <c r="D77" i="5"/>
  <c r="D76" i="5"/>
  <c r="D75" i="5"/>
  <c r="D74" i="5"/>
  <c r="D73" i="5"/>
  <c r="E72" i="5"/>
  <c r="F72" i="5"/>
  <c r="G72" i="5"/>
  <c r="H72" i="5"/>
  <c r="I72" i="5"/>
  <c r="J72" i="5"/>
  <c r="K72" i="5"/>
  <c r="L72" i="5"/>
  <c r="M72" i="5"/>
  <c r="N72" i="5"/>
  <c r="O72" i="5"/>
  <c r="D72" i="5"/>
  <c r="E71" i="5"/>
  <c r="F71" i="5"/>
  <c r="G71" i="5"/>
  <c r="H71" i="5"/>
  <c r="I71" i="5"/>
  <c r="J71" i="5"/>
  <c r="K71" i="5"/>
  <c r="L71" i="5"/>
  <c r="M71" i="5"/>
  <c r="N71" i="5"/>
  <c r="O71" i="5"/>
  <c r="D71" i="5"/>
  <c r="E70" i="5"/>
  <c r="F70" i="5"/>
  <c r="G70" i="5"/>
  <c r="H70" i="5"/>
  <c r="I70" i="5"/>
  <c r="J70" i="5"/>
  <c r="K70" i="5"/>
  <c r="L70" i="5"/>
  <c r="M70" i="5"/>
  <c r="N70" i="5"/>
  <c r="O70" i="5"/>
  <c r="D70" i="5"/>
  <c r="E62" i="5"/>
  <c r="F62" i="5"/>
  <c r="G62" i="5"/>
  <c r="H62" i="5"/>
  <c r="I62" i="5"/>
  <c r="J62" i="5"/>
  <c r="K62" i="5"/>
  <c r="L62" i="5"/>
  <c r="M62" i="5"/>
  <c r="N62" i="5"/>
  <c r="O62" i="5"/>
  <c r="D62" i="5"/>
  <c r="D36" i="5"/>
  <c r="E36" i="5"/>
  <c r="F36" i="5"/>
  <c r="G36" i="5"/>
  <c r="H36" i="5"/>
  <c r="I36" i="5"/>
  <c r="J36" i="5"/>
  <c r="K36" i="5"/>
  <c r="L36" i="5"/>
  <c r="M36" i="5"/>
  <c r="N36" i="5"/>
  <c r="O36" i="5"/>
  <c r="D37" i="5"/>
  <c r="E37" i="5"/>
  <c r="F37" i="5"/>
  <c r="G37" i="5"/>
  <c r="H37" i="5"/>
  <c r="I37" i="5"/>
  <c r="J37" i="5"/>
  <c r="K37" i="5"/>
  <c r="L37" i="5"/>
  <c r="M37" i="5"/>
  <c r="N37" i="5"/>
  <c r="O3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E35" i="5"/>
  <c r="F35" i="5"/>
  <c r="G35" i="5"/>
  <c r="H35" i="5"/>
  <c r="I35" i="5"/>
  <c r="J35" i="5"/>
  <c r="K35" i="5"/>
  <c r="L35" i="5"/>
  <c r="M35" i="5"/>
  <c r="N35" i="5"/>
  <c r="O35" i="5"/>
  <c r="D35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D48" i="5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E44" i="5"/>
  <c r="F44" i="5"/>
  <c r="G44" i="5"/>
  <c r="H44" i="5"/>
  <c r="I44" i="5"/>
  <c r="J44" i="5"/>
  <c r="K44" i="5"/>
  <c r="L44" i="5"/>
  <c r="M44" i="5"/>
  <c r="N44" i="5"/>
  <c r="O44" i="5"/>
  <c r="D44" i="5"/>
  <c r="O16" i="12"/>
  <c r="N16" i="12"/>
  <c r="M16" i="12"/>
  <c r="L16" i="12"/>
  <c r="K16" i="12"/>
  <c r="J16" i="12"/>
  <c r="I16" i="12"/>
  <c r="H16" i="12"/>
  <c r="G16" i="12"/>
  <c r="F16" i="12"/>
  <c r="E16" i="12"/>
  <c r="D16" i="12"/>
  <c r="P16" i="12" s="1"/>
  <c r="C15" i="12"/>
  <c r="P13" i="12"/>
  <c r="P12" i="12"/>
  <c r="P11" i="12"/>
  <c r="P10" i="12"/>
  <c r="P9" i="12"/>
  <c r="P8" i="12"/>
  <c r="P7" i="12"/>
  <c r="P6" i="12"/>
  <c r="P16" i="11"/>
  <c r="O16" i="11"/>
  <c r="N16" i="11"/>
  <c r="L16" i="11"/>
  <c r="K16" i="11"/>
  <c r="J16" i="11"/>
  <c r="H16" i="11"/>
  <c r="G16" i="11"/>
  <c r="F16" i="11"/>
  <c r="E16" i="11"/>
  <c r="C15" i="11"/>
  <c r="I13" i="11"/>
  <c r="I16" i="11" s="1"/>
  <c r="Q12" i="11"/>
  <c r="D12" i="11" s="1"/>
  <c r="Q11" i="11"/>
  <c r="M11" i="11"/>
  <c r="M16" i="11" s="1"/>
  <c r="D11" i="11"/>
  <c r="Q10" i="11"/>
  <c r="D10" i="11"/>
  <c r="Q9" i="11"/>
  <c r="D9" i="11"/>
  <c r="Q8" i="11"/>
  <c r="D8" i="11"/>
  <c r="Q7" i="11"/>
  <c r="D7" i="11"/>
  <c r="Q6" i="11"/>
  <c r="D6" i="11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D18" i="5"/>
  <c r="E18" i="5"/>
  <c r="F18" i="5"/>
  <c r="G18" i="5"/>
  <c r="H18" i="5"/>
  <c r="I18" i="5"/>
  <c r="J18" i="5"/>
  <c r="K18" i="5"/>
  <c r="L18" i="5"/>
  <c r="M18" i="5"/>
  <c r="N18" i="5"/>
  <c r="O18" i="5"/>
  <c r="E11" i="5"/>
  <c r="F11" i="5"/>
  <c r="G11" i="5"/>
  <c r="H11" i="5"/>
  <c r="I11" i="5"/>
  <c r="J11" i="5"/>
  <c r="K11" i="5"/>
  <c r="L11" i="5"/>
  <c r="M11" i="5"/>
  <c r="N11" i="5"/>
  <c r="O11" i="5"/>
  <c r="D11" i="5"/>
  <c r="P34" i="5"/>
  <c r="P43" i="5"/>
  <c r="P52" i="5"/>
  <c r="P53" i="5"/>
  <c r="P54" i="5"/>
  <c r="P55" i="5"/>
  <c r="P16" i="10"/>
  <c r="O16" i="10"/>
  <c r="N16" i="10"/>
  <c r="M16" i="10"/>
  <c r="L16" i="10"/>
  <c r="K16" i="10"/>
  <c r="J16" i="10"/>
  <c r="H16" i="10"/>
  <c r="G16" i="10"/>
  <c r="F16" i="10"/>
  <c r="E16" i="10"/>
  <c r="C15" i="10"/>
  <c r="Q13" i="10"/>
  <c r="I13" i="10"/>
  <c r="I16" i="10" s="1"/>
  <c r="D13" i="10"/>
  <c r="Q12" i="10"/>
  <c r="D12" i="10"/>
  <c r="Q11" i="10"/>
  <c r="D11" i="10"/>
  <c r="Q10" i="10"/>
  <c r="D10" i="10"/>
  <c r="Q9" i="10"/>
  <c r="D9" i="10"/>
  <c r="Q8" i="10"/>
  <c r="D8" i="10"/>
  <c r="Q7" i="10"/>
  <c r="D7" i="10"/>
  <c r="Q6" i="10"/>
  <c r="D6" i="10"/>
  <c r="P16" i="9"/>
  <c r="O16" i="9"/>
  <c r="N16" i="9"/>
  <c r="L16" i="9"/>
  <c r="K16" i="9"/>
  <c r="J16" i="9"/>
  <c r="H16" i="9"/>
  <c r="G16" i="9"/>
  <c r="F16" i="9"/>
  <c r="E16" i="9"/>
  <c r="C15" i="9"/>
  <c r="I13" i="9"/>
  <c r="I16" i="9" s="1"/>
  <c r="D13" i="9"/>
  <c r="Q12" i="9"/>
  <c r="D12" i="9"/>
  <c r="Q11" i="9"/>
  <c r="M11" i="9"/>
  <c r="M16" i="9" s="1"/>
  <c r="D11" i="9"/>
  <c r="Q10" i="9"/>
  <c r="D10" i="9"/>
  <c r="Q9" i="9"/>
  <c r="D9" i="9"/>
  <c r="Q8" i="9"/>
  <c r="D8" i="9"/>
  <c r="Q7" i="9"/>
  <c r="D7" i="9"/>
  <c r="Q6" i="9"/>
  <c r="D6" i="9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P31" i="7"/>
  <c r="P30" i="7"/>
  <c r="P29" i="7"/>
  <c r="P21" i="7"/>
  <c r="P20" i="7"/>
  <c r="B17" i="7"/>
  <c r="H14" i="7" s="1"/>
  <c r="B11" i="7"/>
  <c r="P9" i="7"/>
  <c r="G3" i="7"/>
  <c r="J3" i="7" s="1"/>
  <c r="L3" i="7" s="1"/>
  <c r="R184" i="5"/>
  <c r="C179" i="5"/>
  <c r="C178" i="5"/>
  <c r="C177" i="5"/>
  <c r="C176" i="5"/>
  <c r="C165" i="5"/>
  <c r="C164" i="5"/>
  <c r="C163" i="5"/>
  <c r="C162" i="5"/>
  <c r="C158" i="5"/>
  <c r="C157" i="5"/>
  <c r="C156" i="5"/>
  <c r="F88" i="4" s="1"/>
  <c r="C155" i="5"/>
  <c r="F87" i="4" s="1"/>
  <c r="C154" i="5"/>
  <c r="F86" i="4" s="1"/>
  <c r="C147" i="5"/>
  <c r="F78" i="4" s="1"/>
  <c r="C141" i="5"/>
  <c r="C140" i="5"/>
  <c r="C139" i="5"/>
  <c r="F74" i="4" s="1"/>
  <c r="C125" i="5"/>
  <c r="C124" i="5"/>
  <c r="C121" i="5"/>
  <c r="C115" i="5"/>
  <c r="C114" i="5"/>
  <c r="C113" i="5"/>
  <c r="C108" i="5"/>
  <c r="F54" i="4" s="1"/>
  <c r="C107" i="5"/>
  <c r="F53" i="4" s="1"/>
  <c r="C106" i="5"/>
  <c r="F52" i="4" s="1"/>
  <c r="C105" i="5"/>
  <c r="F51" i="4" s="1"/>
  <c r="C98" i="5"/>
  <c r="F46" i="4" s="1"/>
  <c r="C97" i="5"/>
  <c r="F45" i="4" s="1"/>
  <c r="C96" i="5"/>
  <c r="F44" i="4" s="1"/>
  <c r="C95" i="5"/>
  <c r="E95" i="5" s="1"/>
  <c r="G95" i="5" s="1"/>
  <c r="I95" i="5" s="1"/>
  <c r="K95" i="5" s="1"/>
  <c r="M95" i="5" s="1"/>
  <c r="O95" i="5" s="1"/>
  <c r="C94" i="5"/>
  <c r="F43" i="4" s="1"/>
  <c r="C93" i="5"/>
  <c r="F42" i="4" s="1"/>
  <c r="C92" i="5"/>
  <c r="E92" i="5" s="1"/>
  <c r="G92" i="5" s="1"/>
  <c r="I92" i="5" s="1"/>
  <c r="K92" i="5" s="1"/>
  <c r="M92" i="5" s="1"/>
  <c r="O92" i="5" s="1"/>
  <c r="C91" i="5"/>
  <c r="F41" i="4" s="1"/>
  <c r="C90" i="5"/>
  <c r="E90" i="5" s="1"/>
  <c r="G90" i="5" s="1"/>
  <c r="I90" i="5" s="1"/>
  <c r="K90" i="5" s="1"/>
  <c r="M90" i="5" s="1"/>
  <c r="O90" i="5" s="1"/>
  <c r="C89" i="5"/>
  <c r="F40" i="4" s="1"/>
  <c r="C88" i="5"/>
  <c r="J88" i="5" s="1"/>
  <c r="C87" i="5"/>
  <c r="E87" i="5" s="1"/>
  <c r="G87" i="5" s="1"/>
  <c r="I87" i="5" s="1"/>
  <c r="K87" i="5" s="1"/>
  <c r="M87" i="5" s="1"/>
  <c r="O87" i="5" s="1"/>
  <c r="C86" i="5"/>
  <c r="E86" i="5" s="1"/>
  <c r="G86" i="5" s="1"/>
  <c r="I86" i="5" s="1"/>
  <c r="K86" i="5" s="1"/>
  <c r="M86" i="5" s="1"/>
  <c r="O86" i="5" s="1"/>
  <c r="C85" i="5"/>
  <c r="E85" i="5" s="1"/>
  <c r="G85" i="5" s="1"/>
  <c r="I85" i="5" s="1"/>
  <c r="K85" i="5" s="1"/>
  <c r="M85" i="5" s="1"/>
  <c r="O85" i="5" s="1"/>
  <c r="C84" i="5"/>
  <c r="F84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Q75" i="6" s="1"/>
  <c r="J73" i="6"/>
  <c r="I73" i="6"/>
  <c r="H73" i="6"/>
  <c r="Q73" i="6" s="1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Q65" i="6" s="1"/>
  <c r="P64" i="6"/>
  <c r="O64" i="6"/>
  <c r="N64" i="6"/>
  <c r="M64" i="6"/>
  <c r="L64" i="6"/>
  <c r="K64" i="6"/>
  <c r="J64" i="6"/>
  <c r="I64" i="6"/>
  <c r="Q64" i="6" s="1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Q49" i="6" s="1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Q31" i="6" s="1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Q20" i="6" s="1"/>
  <c r="R19" i="6"/>
  <c r="E19" i="6"/>
  <c r="Q19" i="6" s="1"/>
  <c r="R18" i="6"/>
  <c r="Q18" i="6"/>
  <c r="E18" i="6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R56" i="6" s="1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Q7" i="6" s="1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O10" i="6" s="1"/>
  <c r="N5" i="6"/>
  <c r="M5" i="6"/>
  <c r="M10" i="6" s="1"/>
  <c r="L5" i="6"/>
  <c r="K5" i="6"/>
  <c r="K10" i="6" s="1"/>
  <c r="J5" i="6"/>
  <c r="I5" i="6"/>
  <c r="I10" i="6" s="1"/>
  <c r="H5" i="6"/>
  <c r="G5" i="6"/>
  <c r="G10" i="6" s="1"/>
  <c r="F5" i="6"/>
  <c r="E5" i="6"/>
  <c r="E10" i="6" s="1"/>
  <c r="P4" i="6"/>
  <c r="O4" i="6"/>
  <c r="N4" i="6"/>
  <c r="M4" i="6"/>
  <c r="L4" i="6"/>
  <c r="K4" i="6"/>
  <c r="J4" i="6"/>
  <c r="I4" i="6"/>
  <c r="H4" i="6"/>
  <c r="G4" i="6"/>
  <c r="F4" i="6"/>
  <c r="E4" i="6"/>
  <c r="Q4" i="6" s="1"/>
  <c r="P154" i="5"/>
  <c r="P156" i="5"/>
  <c r="P158" i="5"/>
  <c r="P179" i="5"/>
  <c r="P178" i="5"/>
  <c r="P177" i="5"/>
  <c r="P176" i="5"/>
  <c r="P172" i="5"/>
  <c r="P171" i="5"/>
  <c r="P170" i="5"/>
  <c r="P169" i="5"/>
  <c r="P165" i="5"/>
  <c r="P164" i="5"/>
  <c r="P163" i="5"/>
  <c r="P162" i="5"/>
  <c r="P157" i="5"/>
  <c r="P155" i="5"/>
  <c r="P147" i="5"/>
  <c r="P145" i="5"/>
  <c r="P141" i="5"/>
  <c r="P140" i="5"/>
  <c r="P139" i="5"/>
  <c r="P135" i="5"/>
  <c r="P136" i="5" s="1"/>
  <c r="P125" i="5"/>
  <c r="P124" i="5"/>
  <c r="P120" i="5"/>
  <c r="P121" i="5" s="1"/>
  <c r="P115" i="5"/>
  <c r="P114" i="5"/>
  <c r="P113" i="5"/>
  <c r="P75" i="5"/>
  <c r="P70" i="5"/>
  <c r="P108" i="5"/>
  <c r="P107" i="5"/>
  <c r="P106" i="5"/>
  <c r="P105" i="5"/>
  <c r="P91" i="5"/>
  <c r="P89" i="5"/>
  <c r="P99" i="5"/>
  <c r="P98" i="5"/>
  <c r="P97" i="5"/>
  <c r="P96" i="5"/>
  <c r="P95" i="5"/>
  <c r="P94" i="5"/>
  <c r="P93" i="5"/>
  <c r="P92" i="5"/>
  <c r="P90" i="5"/>
  <c r="P88" i="5"/>
  <c r="P87" i="5"/>
  <c r="P86" i="5"/>
  <c r="P85" i="5"/>
  <c r="P84" i="5"/>
  <c r="P79" i="5"/>
  <c r="P78" i="5"/>
  <c r="P77" i="5"/>
  <c r="P76" i="5"/>
  <c r="P74" i="5"/>
  <c r="P72" i="5"/>
  <c r="P71" i="5"/>
  <c r="P60" i="5"/>
  <c r="P59" i="5"/>
  <c r="P25" i="5"/>
  <c r="P24" i="5"/>
  <c r="P19" i="5"/>
  <c r="P10" i="5"/>
  <c r="F19" i="4"/>
  <c r="F20" i="4"/>
  <c r="F21" i="4"/>
  <c r="F22" i="4"/>
  <c r="B21" i="4"/>
  <c r="B20" i="4"/>
  <c r="B19" i="4"/>
  <c r="B15" i="4"/>
  <c r="F15" i="4"/>
  <c r="F11" i="4"/>
  <c r="D64" i="5" l="1"/>
  <c r="D136" i="5"/>
  <c r="N64" i="5"/>
  <c r="N136" i="5"/>
  <c r="L64" i="5"/>
  <c r="L136" i="5"/>
  <c r="J64" i="5"/>
  <c r="J136" i="5"/>
  <c r="H64" i="5"/>
  <c r="H136" i="5"/>
  <c r="F64" i="5"/>
  <c r="F136" i="5"/>
  <c r="O64" i="5"/>
  <c r="O136" i="5"/>
  <c r="M64" i="5"/>
  <c r="M136" i="5"/>
  <c r="K64" i="5"/>
  <c r="K136" i="5"/>
  <c r="I64" i="5"/>
  <c r="I136" i="5"/>
  <c r="G64" i="5"/>
  <c r="G136" i="5"/>
  <c r="E64" i="5"/>
  <c r="E136" i="5"/>
  <c r="C166" i="5"/>
  <c r="C173" i="5"/>
  <c r="C159" i="5"/>
  <c r="E104" i="5"/>
  <c r="E110" i="5" s="1"/>
  <c r="C110" i="5"/>
  <c r="C72" i="5"/>
  <c r="L104" i="5"/>
  <c r="L110" i="5" s="1"/>
  <c r="D104" i="5"/>
  <c r="D110" i="5" s="1"/>
  <c r="H104" i="5"/>
  <c r="H110" i="5" s="1"/>
  <c r="N104" i="5"/>
  <c r="N110" i="5" s="1"/>
  <c r="J104" i="5"/>
  <c r="J110" i="5" s="1"/>
  <c r="F104" i="5"/>
  <c r="F110" i="5" s="1"/>
  <c r="O104" i="5"/>
  <c r="O110" i="5" s="1"/>
  <c r="M104" i="5"/>
  <c r="M110" i="5" s="1"/>
  <c r="K104" i="5"/>
  <c r="K110" i="5" s="1"/>
  <c r="I104" i="5"/>
  <c r="I110" i="5" s="1"/>
  <c r="G104" i="5"/>
  <c r="G110" i="5" s="1"/>
  <c r="M84" i="5"/>
  <c r="I84" i="5"/>
  <c r="E84" i="5"/>
  <c r="M88" i="5"/>
  <c r="M98" i="5"/>
  <c r="I98" i="5"/>
  <c r="E98" i="5"/>
  <c r="E94" i="5"/>
  <c r="G94" i="5" s="1"/>
  <c r="I94" i="5" s="1"/>
  <c r="K94" i="5" s="1"/>
  <c r="M94" i="5" s="1"/>
  <c r="O94" i="5" s="1"/>
  <c r="E96" i="5"/>
  <c r="G96" i="5" s="1"/>
  <c r="I96" i="5" s="1"/>
  <c r="K96" i="5" s="1"/>
  <c r="M96" i="5" s="1"/>
  <c r="O96" i="5" s="1"/>
  <c r="O81" i="5"/>
  <c r="M81" i="5"/>
  <c r="K81" i="5"/>
  <c r="I81" i="5"/>
  <c r="G81" i="5"/>
  <c r="E81" i="5"/>
  <c r="C71" i="5"/>
  <c r="C74" i="5"/>
  <c r="F29" i="4" s="1"/>
  <c r="C76" i="5"/>
  <c r="C78" i="5"/>
  <c r="F32" i="4" s="1"/>
  <c r="C79" i="5"/>
  <c r="F33" i="4" s="1"/>
  <c r="C77" i="5"/>
  <c r="F31" i="4" s="1"/>
  <c r="C75" i="5"/>
  <c r="F30" i="4" s="1"/>
  <c r="N81" i="5"/>
  <c r="L81" i="5"/>
  <c r="J81" i="5"/>
  <c r="H81" i="5"/>
  <c r="F81" i="5"/>
  <c r="C80" i="5"/>
  <c r="O84" i="5"/>
  <c r="K84" i="5"/>
  <c r="G84" i="5"/>
  <c r="G88" i="5"/>
  <c r="O98" i="5"/>
  <c r="K98" i="5"/>
  <c r="G98" i="5"/>
  <c r="C99" i="5"/>
  <c r="E91" i="5"/>
  <c r="G91" i="5" s="1"/>
  <c r="I91" i="5" s="1"/>
  <c r="K91" i="5" s="1"/>
  <c r="M91" i="5" s="1"/>
  <c r="O91" i="5" s="1"/>
  <c r="C45" i="5"/>
  <c r="C70" i="5"/>
  <c r="C73" i="5"/>
  <c r="O93" i="5"/>
  <c r="M93" i="5"/>
  <c r="K93" i="5"/>
  <c r="I93" i="5"/>
  <c r="G93" i="5"/>
  <c r="E93" i="5"/>
  <c r="D81" i="5"/>
  <c r="C39" i="5"/>
  <c r="D84" i="5"/>
  <c r="N84" i="5"/>
  <c r="L84" i="5"/>
  <c r="J84" i="5"/>
  <c r="H84" i="5"/>
  <c r="D88" i="5"/>
  <c r="D93" i="5"/>
  <c r="N93" i="5"/>
  <c r="L93" i="5"/>
  <c r="J93" i="5"/>
  <c r="H93" i="5"/>
  <c r="F93" i="5"/>
  <c r="D98" i="5"/>
  <c r="N98" i="5"/>
  <c r="L98" i="5"/>
  <c r="J98" i="5"/>
  <c r="H98" i="5"/>
  <c r="F98" i="5"/>
  <c r="D10" i="5"/>
  <c r="D21" i="5" s="1"/>
  <c r="N10" i="5"/>
  <c r="N21" i="5" s="1"/>
  <c r="L10" i="5"/>
  <c r="L21" i="5" s="1"/>
  <c r="J10" i="5"/>
  <c r="J21" i="5" s="1"/>
  <c r="H10" i="5"/>
  <c r="H21" i="5" s="1"/>
  <c r="F10" i="5"/>
  <c r="F21" i="5" s="1"/>
  <c r="C14" i="5"/>
  <c r="C33" i="5"/>
  <c r="O10" i="5"/>
  <c r="O21" i="5" s="1"/>
  <c r="M10" i="5"/>
  <c r="M21" i="5" s="1"/>
  <c r="K10" i="5"/>
  <c r="K21" i="5" s="1"/>
  <c r="I10" i="5"/>
  <c r="I21" i="5" s="1"/>
  <c r="G10" i="5"/>
  <c r="G21" i="5" s="1"/>
  <c r="E10" i="5"/>
  <c r="E21" i="5" s="1"/>
  <c r="O43" i="5"/>
  <c r="M43" i="5"/>
  <c r="K43" i="5"/>
  <c r="I43" i="5"/>
  <c r="G43" i="5"/>
  <c r="E43" i="5"/>
  <c r="C49" i="5"/>
  <c r="C35" i="5"/>
  <c r="C41" i="5"/>
  <c r="C37" i="5"/>
  <c r="C51" i="5"/>
  <c r="C47" i="5"/>
  <c r="N43" i="5"/>
  <c r="L43" i="5"/>
  <c r="J43" i="5"/>
  <c r="H43" i="5"/>
  <c r="F43" i="5"/>
  <c r="D43" i="5"/>
  <c r="C42" i="5"/>
  <c r="C40" i="5"/>
  <c r="C38" i="5"/>
  <c r="C36" i="5"/>
  <c r="C18" i="5"/>
  <c r="C29" i="5"/>
  <c r="C16" i="5"/>
  <c r="C31" i="5"/>
  <c r="C27" i="5"/>
  <c r="C44" i="5"/>
  <c r="C50" i="5"/>
  <c r="C48" i="5"/>
  <c r="C46" i="5"/>
  <c r="P56" i="5"/>
  <c r="Q16" i="11"/>
  <c r="Q13" i="11"/>
  <c r="D13" i="11" s="1"/>
  <c r="C32" i="5"/>
  <c r="C30" i="5"/>
  <c r="C28" i="5"/>
  <c r="C12" i="5"/>
  <c r="C11" i="5"/>
  <c r="C17" i="5"/>
  <c r="C15" i="5"/>
  <c r="C13" i="5"/>
  <c r="Q16" i="10"/>
  <c r="Q16" i="9"/>
  <c r="Q13" i="9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H4" i="7"/>
  <c r="H8" i="7"/>
  <c r="H56" i="7"/>
  <c r="H54" i="7"/>
  <c r="H52" i="7"/>
  <c r="H50" i="7"/>
  <c r="H48" i="7"/>
  <c r="H46" i="7"/>
  <c r="H44" i="7"/>
  <c r="H42" i="7"/>
  <c r="H40" i="7"/>
  <c r="H38" i="7"/>
  <c r="H36" i="7"/>
  <c r="H34" i="7"/>
  <c r="H57" i="7"/>
  <c r="H53" i="7"/>
  <c r="H49" i="7"/>
  <c r="H45" i="7"/>
  <c r="H41" i="7"/>
  <c r="H37" i="7"/>
  <c r="H33" i="7"/>
  <c r="H28" i="7"/>
  <c r="H26" i="7"/>
  <c r="H24" i="7"/>
  <c r="H22" i="7"/>
  <c r="H21" i="7"/>
  <c r="H20" i="7"/>
  <c r="H18" i="7"/>
  <c r="H15" i="7"/>
  <c r="H13" i="7"/>
  <c r="H11" i="7"/>
  <c r="H10" i="7"/>
  <c r="H9" i="7"/>
  <c r="H7" i="7"/>
  <c r="H5" i="7"/>
  <c r="H3" i="7"/>
  <c r="I3" i="7" s="1"/>
  <c r="K3" i="7" s="1"/>
  <c r="H55" i="7"/>
  <c r="H51" i="7"/>
  <c r="H47" i="7"/>
  <c r="H19" i="7"/>
  <c r="H25" i="7"/>
  <c r="H29" i="7"/>
  <c r="H30" i="7"/>
  <c r="H31" i="7"/>
  <c r="H32" i="7"/>
  <c r="H35" i="7"/>
  <c r="H43" i="7"/>
  <c r="M3" i="7"/>
  <c r="G4" i="7" s="1"/>
  <c r="H6" i="7"/>
  <c r="H12" i="7"/>
  <c r="H16" i="7"/>
  <c r="H17" i="7"/>
  <c r="H23" i="7"/>
  <c r="H27" i="7"/>
  <c r="H39" i="7"/>
  <c r="F70" i="4"/>
  <c r="C148" i="5"/>
  <c r="F59" i="4"/>
  <c r="C101" i="5"/>
  <c r="C117" i="5"/>
  <c r="C126" i="5"/>
  <c r="C180" i="5"/>
  <c r="P159" i="5"/>
  <c r="C142" i="5"/>
  <c r="E29" i="6"/>
  <c r="E62" i="6"/>
  <c r="G29" i="6"/>
  <c r="G58" i="6" s="1"/>
  <c r="I29" i="6"/>
  <c r="I56" i="6" s="1"/>
  <c r="I62" i="6" s="1"/>
  <c r="I67" i="6" s="1"/>
  <c r="I76" i="6" s="1"/>
  <c r="K29" i="6"/>
  <c r="K58" i="6" s="1"/>
  <c r="M29" i="6"/>
  <c r="M56" i="6" s="1"/>
  <c r="M62" i="6" s="1"/>
  <c r="M67" i="6" s="1"/>
  <c r="M76" i="6" s="1"/>
  <c r="O29" i="6"/>
  <c r="O58" i="6" s="1"/>
  <c r="Q5" i="6"/>
  <c r="F10" i="6"/>
  <c r="H10" i="6"/>
  <c r="J10" i="6"/>
  <c r="L10" i="6"/>
  <c r="N10" i="6"/>
  <c r="P10" i="6"/>
  <c r="Q6" i="6"/>
  <c r="E58" i="6"/>
  <c r="E56" i="6"/>
  <c r="Q15" i="6"/>
  <c r="G56" i="6"/>
  <c r="G62" i="6" s="1"/>
  <c r="G67" i="6" s="1"/>
  <c r="G76" i="6" s="1"/>
  <c r="G81" i="6" s="1"/>
  <c r="H80" i="6" s="1"/>
  <c r="Q16" i="6"/>
  <c r="I58" i="6"/>
  <c r="M58" i="6"/>
  <c r="Q28" i="6"/>
  <c r="Q40" i="6"/>
  <c r="Q47" i="6"/>
  <c r="Q60" i="6"/>
  <c r="Q69" i="6"/>
  <c r="K56" i="6"/>
  <c r="K62" i="6" s="1"/>
  <c r="K67" i="6" s="1"/>
  <c r="K76" i="6" s="1"/>
  <c r="O56" i="6"/>
  <c r="O62" i="6" s="1"/>
  <c r="O67" i="6" s="1"/>
  <c r="O76" i="6" s="1"/>
  <c r="P126" i="5"/>
  <c r="P148" i="5"/>
  <c r="P21" i="5"/>
  <c r="P117" i="5"/>
  <c r="P142" i="5"/>
  <c r="P81" i="5"/>
  <c r="P110" i="5"/>
  <c r="P101" i="5"/>
  <c r="C182" i="5" l="1"/>
  <c r="P182" i="5"/>
  <c r="C34" i="5"/>
  <c r="E182" i="5"/>
  <c r="E150" i="5"/>
  <c r="G150" i="5"/>
  <c r="I182" i="5"/>
  <c r="I150" i="5"/>
  <c r="K182" i="5"/>
  <c r="K150" i="5"/>
  <c r="M182" i="5"/>
  <c r="M150" i="5"/>
  <c r="O182" i="5"/>
  <c r="O150" i="5"/>
  <c r="F182" i="5"/>
  <c r="F150" i="5"/>
  <c r="H182" i="5"/>
  <c r="H150" i="5"/>
  <c r="J182" i="5"/>
  <c r="J150" i="5"/>
  <c r="L182" i="5"/>
  <c r="L150" i="5"/>
  <c r="N182" i="5"/>
  <c r="N150" i="5"/>
  <c r="D182" i="5"/>
  <c r="D150" i="5"/>
  <c r="F56" i="5"/>
  <c r="F66" i="5" s="1"/>
  <c r="J56" i="5"/>
  <c r="J66" i="5" s="1"/>
  <c r="N56" i="5"/>
  <c r="N66" i="5" s="1"/>
  <c r="E56" i="5"/>
  <c r="E66" i="5" s="1"/>
  <c r="I56" i="5"/>
  <c r="I66" i="5" s="1"/>
  <c r="M56" i="5"/>
  <c r="M66" i="5" s="1"/>
  <c r="D56" i="5"/>
  <c r="D66" i="5" s="1"/>
  <c r="H56" i="5"/>
  <c r="H66" i="5" s="1"/>
  <c r="L56" i="5"/>
  <c r="L66" i="5" s="1"/>
  <c r="G56" i="5"/>
  <c r="G66" i="5" s="1"/>
  <c r="K56" i="5"/>
  <c r="O56" i="5"/>
  <c r="O66" i="5" s="1"/>
  <c r="C150" i="5"/>
  <c r="F101" i="5"/>
  <c r="F129" i="5" s="1"/>
  <c r="K66" i="5"/>
  <c r="N101" i="5"/>
  <c r="N129" i="5" s="1"/>
  <c r="K101" i="5"/>
  <c r="K129" i="5" s="1"/>
  <c r="H101" i="5"/>
  <c r="H129" i="5" s="1"/>
  <c r="L101" i="5"/>
  <c r="L129" i="5" s="1"/>
  <c r="D101" i="5"/>
  <c r="D129" i="5" s="1"/>
  <c r="G101" i="5"/>
  <c r="G129" i="5" s="1"/>
  <c r="O101" i="5"/>
  <c r="O129" i="5" s="1"/>
  <c r="E101" i="5"/>
  <c r="E129" i="5" s="1"/>
  <c r="M101" i="5"/>
  <c r="M129" i="5" s="1"/>
  <c r="J101" i="5"/>
  <c r="J129" i="5" s="1"/>
  <c r="I101" i="5"/>
  <c r="I129" i="5" s="1"/>
  <c r="C81" i="5"/>
  <c r="C129" i="5" s="1"/>
  <c r="F28" i="4"/>
  <c r="C25" i="5"/>
  <c r="F16" i="4" s="1"/>
  <c r="C10" i="5"/>
  <c r="C21" i="5" s="1"/>
  <c r="C43" i="5"/>
  <c r="F10" i="4"/>
  <c r="F18" i="4"/>
  <c r="D89" i="8"/>
  <c r="D92" i="8"/>
  <c r="D91" i="8"/>
  <c r="D90" i="8"/>
  <c r="O14" i="8"/>
  <c r="W10" i="8"/>
  <c r="B66" i="8"/>
  <c r="B68" i="8" s="1"/>
  <c r="I4" i="7"/>
  <c r="K4" i="7" s="1"/>
  <c r="M4" i="7"/>
  <c r="G5" i="7" s="1"/>
  <c r="J4" i="7"/>
  <c r="L4" i="7" s="1"/>
  <c r="P150" i="5"/>
  <c r="P29" i="6"/>
  <c r="L29" i="6"/>
  <c r="H29" i="6"/>
  <c r="E67" i="6"/>
  <c r="N29" i="6"/>
  <c r="J29" i="6"/>
  <c r="F29" i="6"/>
  <c r="Q10" i="6"/>
  <c r="Q29" i="6"/>
  <c r="P129" i="5"/>
  <c r="K132" i="5" l="1"/>
  <c r="K184" i="5" s="1"/>
  <c r="F132" i="5"/>
  <c r="F184" i="5" s="1"/>
  <c r="F187" i="5" s="1"/>
  <c r="G186" i="5" s="1"/>
  <c r="C56" i="5"/>
  <c r="I132" i="5"/>
  <c r="I184" i="5" s="1"/>
  <c r="J132" i="5"/>
  <c r="J184" i="5" s="1"/>
  <c r="E132" i="5"/>
  <c r="E184" i="5" s="1"/>
  <c r="F17" i="4"/>
  <c r="G132" i="5"/>
  <c r="G184" i="5" s="1"/>
  <c r="D132" i="5"/>
  <c r="D184" i="5" s="1"/>
  <c r="H132" i="5"/>
  <c r="H184" i="5" s="1"/>
  <c r="N132" i="5"/>
  <c r="N184" i="5" s="1"/>
  <c r="O132" i="5"/>
  <c r="O184" i="5" s="1"/>
  <c r="M132" i="5"/>
  <c r="M184" i="5" s="1"/>
  <c r="L132" i="5"/>
  <c r="L184" i="5" s="1"/>
  <c r="F23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J5" i="7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G187" i="5" l="1"/>
  <c r="H186" i="5" s="1"/>
  <c r="H187" i="5" s="1"/>
  <c r="P14" i="8"/>
  <c r="W11" i="8"/>
  <c r="W14" i="8" s="1"/>
  <c r="L5" i="7"/>
  <c r="I5" i="7"/>
  <c r="L81" i="6"/>
  <c r="M80" i="6" s="1"/>
  <c r="M81" i="6" s="1"/>
  <c r="N80" i="6" s="1"/>
  <c r="J81" i="6"/>
  <c r="K80" i="6" s="1"/>
  <c r="K81" i="6" s="1"/>
  <c r="L80" i="6" s="1"/>
  <c r="Q58" i="6"/>
  <c r="N81" i="6"/>
  <c r="O80" i="6" s="1"/>
  <c r="O81" i="6" s="1"/>
  <c r="P80" i="6" s="1"/>
  <c r="P81" i="6" s="1"/>
  <c r="P85" i="6" s="1"/>
  <c r="F62" i="6"/>
  <c r="Q56" i="6"/>
  <c r="I186" i="5" l="1"/>
  <c r="I187" i="5" s="1"/>
  <c r="K5" i="7"/>
  <c r="M5" i="7"/>
  <c r="G6" i="7" s="1"/>
  <c r="F67" i="6"/>
  <c r="Q62" i="6"/>
  <c r="J186" i="5" l="1"/>
  <c r="J187" i="5" s="1"/>
  <c r="J6" i="7"/>
  <c r="F76" i="6"/>
  <c r="Q76" i="6" s="1"/>
  <c r="Q67" i="6"/>
  <c r="K186" i="5" l="1"/>
  <c r="K187" i="5" s="1"/>
  <c r="L6" i="7"/>
  <c r="I6" i="7"/>
  <c r="L186" i="5" l="1"/>
  <c r="L187" i="5" s="1"/>
  <c r="K6" i="7"/>
  <c r="M6" i="7"/>
  <c r="G7" i="7" s="1"/>
  <c r="M186" i="5" l="1"/>
  <c r="M187" i="5" s="1"/>
  <c r="J7" i="7"/>
  <c r="N186" i="5" l="1"/>
  <c r="N187" i="5" s="1"/>
  <c r="L7" i="7"/>
  <c r="I7" i="7"/>
  <c r="O186" i="5" l="1"/>
  <c r="O187" i="5" s="1"/>
  <c r="O192" i="5" s="1"/>
  <c r="K7" i="7"/>
  <c r="M7" i="7"/>
  <c r="G8" i="7" s="1"/>
  <c r="J8" i="7" l="1"/>
  <c r="L8" i="7" l="1"/>
  <c r="I8" i="7"/>
  <c r="K8" i="7" l="1"/>
  <c r="M8" i="7"/>
  <c r="G9" i="7" s="1"/>
  <c r="J9" i="7" l="1"/>
  <c r="L9" i="7" l="1"/>
  <c r="I9" i="7"/>
  <c r="K9" i="7" l="1"/>
  <c r="M9" i="7"/>
  <c r="G10" i="7" s="1"/>
  <c r="J10" i="7" l="1"/>
  <c r="L10" i="7" l="1"/>
  <c r="I10" i="7"/>
  <c r="K10" i="7" l="1"/>
  <c r="M10" i="7"/>
  <c r="G11" i="7" s="1"/>
  <c r="J11" i="7" l="1"/>
  <c r="L11" i="7" l="1"/>
  <c r="I11" i="7"/>
  <c r="K11" i="7" l="1"/>
  <c r="M11" i="7"/>
  <c r="G12" i="7" s="1"/>
  <c r="J12" i="7" l="1"/>
  <c r="L12" i="7" l="1"/>
  <c r="I12" i="7"/>
  <c r="K12" i="7" l="1"/>
  <c r="M12" i="7"/>
  <c r="G13" i="7" s="1"/>
  <c r="J13" i="7" l="1"/>
  <c r="L13" i="7" l="1"/>
  <c r="I13" i="7"/>
  <c r="K13" i="7" l="1"/>
  <c r="M13" i="7"/>
  <c r="G14" i="7" s="1"/>
  <c r="J14" i="7" l="1"/>
  <c r="L14" i="7" l="1"/>
  <c r="I14" i="7"/>
  <c r="K14" i="7" l="1"/>
  <c r="M14" i="7"/>
  <c r="G15" i="7" s="1"/>
  <c r="J15" i="7" l="1"/>
  <c r="L15" i="7" l="1"/>
  <c r="I15" i="7"/>
  <c r="K15" i="7" l="1"/>
  <c r="M15" i="7"/>
  <c r="G16" i="7" s="1"/>
  <c r="J16" i="7" l="1"/>
  <c r="L16" i="7" l="1"/>
  <c r="I16" i="7"/>
  <c r="K16" i="7" l="1"/>
  <c r="M16" i="7"/>
  <c r="G17" i="7" s="1"/>
  <c r="J17" i="7" l="1"/>
  <c r="L17" i="7" l="1"/>
  <c r="I17" i="7"/>
  <c r="K17" i="7" l="1"/>
  <c r="M17" i="7"/>
  <c r="G18" i="7" s="1"/>
  <c r="J18" i="7" l="1"/>
  <c r="L18" i="7" l="1"/>
  <c r="I18" i="7"/>
  <c r="K18" i="7" l="1"/>
  <c r="M18" i="7"/>
  <c r="G19" i="7" s="1"/>
  <c r="J19" i="7" l="1"/>
  <c r="L19" i="7" l="1"/>
  <c r="I19" i="7"/>
  <c r="K19" i="7" l="1"/>
  <c r="M19" i="7"/>
  <c r="G20" i="7" s="1"/>
  <c r="J20" i="7" l="1"/>
  <c r="L20" i="7" l="1"/>
  <c r="I20" i="7"/>
  <c r="K20" i="7" l="1"/>
  <c r="M20" i="7"/>
  <c r="G21" i="7" s="1"/>
  <c r="J21" i="7" l="1"/>
  <c r="L21" i="7" l="1"/>
  <c r="I21" i="7"/>
  <c r="K21" i="7" l="1"/>
  <c r="M21" i="7"/>
  <c r="G22" i="7" s="1"/>
  <c r="J22" i="7" l="1"/>
  <c r="L22" i="7" l="1"/>
  <c r="I22" i="7"/>
  <c r="K22" i="7" l="1"/>
  <c r="M22" i="7"/>
  <c r="G23" i="7" s="1"/>
  <c r="J23" i="7" l="1"/>
  <c r="L23" i="7" l="1"/>
  <c r="I23" i="7"/>
  <c r="K23" i="7" l="1"/>
  <c r="M23" i="7"/>
  <c r="G24" i="7" s="1"/>
  <c r="J24" i="7" l="1"/>
  <c r="L24" i="7" l="1"/>
  <c r="I24" i="7"/>
  <c r="K24" i="7" l="1"/>
  <c r="M24" i="7"/>
  <c r="G25" i="7" s="1"/>
  <c r="J25" i="7" l="1"/>
  <c r="L25" i="7" l="1"/>
  <c r="I25" i="7"/>
  <c r="K25" i="7" l="1"/>
  <c r="M25" i="7"/>
  <c r="G26" i="7" s="1"/>
  <c r="J26" i="7" l="1"/>
  <c r="L26" i="7" l="1"/>
  <c r="I26" i="7"/>
  <c r="K26" i="7" l="1"/>
  <c r="M26" i="7"/>
  <c r="G27" i="7" s="1"/>
  <c r="J27" i="7" l="1"/>
  <c r="L27" i="7" l="1"/>
  <c r="I27" i="7"/>
  <c r="K27" i="7" l="1"/>
  <c r="M27" i="7"/>
  <c r="G28" i="7" s="1"/>
  <c r="J28" i="7" l="1"/>
  <c r="L28" i="7" l="1"/>
  <c r="I28" i="7"/>
  <c r="K28" i="7" l="1"/>
  <c r="M28" i="7"/>
  <c r="G29" i="7" s="1"/>
  <c r="J29" i="7" l="1"/>
  <c r="L29" i="7" l="1"/>
  <c r="I29" i="7"/>
  <c r="K29" i="7" l="1"/>
  <c r="M29" i="7"/>
  <c r="G30" i="7" s="1"/>
  <c r="J30" i="7" l="1"/>
  <c r="L30" i="7" l="1"/>
  <c r="I30" i="7"/>
  <c r="K30" i="7" l="1"/>
  <c r="M30" i="7"/>
  <c r="G31" i="7" s="1"/>
  <c r="J31" i="7" l="1"/>
  <c r="L31" i="7" l="1"/>
  <c r="I31" i="7"/>
  <c r="K31" i="7" l="1"/>
  <c r="M31" i="7"/>
  <c r="G32" i="7" s="1"/>
  <c r="J32" i="7" l="1"/>
  <c r="L32" i="7" l="1"/>
  <c r="I32" i="7"/>
  <c r="K32" i="7" l="1"/>
  <c r="M32" i="7"/>
  <c r="G33" i="7" s="1"/>
  <c r="J33" i="7" l="1"/>
  <c r="L33" i="7" l="1"/>
  <c r="I33" i="7"/>
  <c r="K33" i="7" l="1"/>
  <c r="M33" i="7"/>
  <c r="G34" i="7" s="1"/>
  <c r="J34" i="7" l="1"/>
  <c r="L34" i="7" l="1"/>
  <c r="I34" i="7"/>
  <c r="K34" i="7" l="1"/>
  <c r="M34" i="7"/>
  <c r="G35" i="7" s="1"/>
  <c r="J35" i="7" l="1"/>
  <c r="L35" i="7" l="1"/>
  <c r="I35" i="7"/>
  <c r="K35" i="7" l="1"/>
  <c r="M35" i="7"/>
  <c r="G36" i="7" s="1"/>
  <c r="J36" i="7" l="1"/>
  <c r="L36" i="7" l="1"/>
  <c r="I36" i="7"/>
  <c r="K36" i="7" l="1"/>
  <c r="M36" i="7"/>
  <c r="G37" i="7" s="1"/>
  <c r="J37" i="7" l="1"/>
  <c r="L37" i="7" l="1"/>
  <c r="I37" i="7"/>
  <c r="K37" i="7" l="1"/>
  <c r="M37" i="7"/>
  <c r="G38" i="7" s="1"/>
  <c r="J38" i="7" l="1"/>
  <c r="L38" i="7" l="1"/>
  <c r="I38" i="7"/>
  <c r="K38" i="7" l="1"/>
  <c r="M38" i="7"/>
  <c r="G39" i="7" s="1"/>
  <c r="J39" i="7" l="1"/>
  <c r="L39" i="7" l="1"/>
  <c r="I39" i="7"/>
  <c r="K39" i="7" l="1"/>
  <c r="M39" i="7"/>
  <c r="G40" i="7" s="1"/>
  <c r="J40" i="7" l="1"/>
  <c r="L40" i="7" l="1"/>
  <c r="I40" i="7"/>
  <c r="K40" i="7" l="1"/>
  <c r="M40" i="7"/>
  <c r="G41" i="7" s="1"/>
  <c r="J41" i="7" l="1"/>
  <c r="L41" i="7" l="1"/>
  <c r="I41" i="7"/>
  <c r="K41" i="7" l="1"/>
  <c r="M41" i="7"/>
  <c r="G42" i="7" s="1"/>
  <c r="J42" i="7" l="1"/>
  <c r="L42" i="7" l="1"/>
  <c r="I42" i="7"/>
  <c r="K42" i="7" l="1"/>
  <c r="M42" i="7"/>
  <c r="G43" i="7" s="1"/>
  <c r="J43" i="7" l="1"/>
  <c r="L43" i="7" l="1"/>
  <c r="I43" i="7"/>
  <c r="K43" i="7" l="1"/>
  <c r="M43" i="7"/>
  <c r="G44" i="7" s="1"/>
  <c r="J44" i="7" l="1"/>
  <c r="L44" i="7" l="1"/>
  <c r="I44" i="7"/>
  <c r="K44" i="7" l="1"/>
  <c r="M44" i="7"/>
  <c r="G45" i="7" s="1"/>
  <c r="J45" i="7" l="1"/>
  <c r="L45" i="7" l="1"/>
  <c r="I45" i="7"/>
  <c r="K45" i="7" l="1"/>
  <c r="M45" i="7"/>
  <c r="G46" i="7" s="1"/>
  <c r="J46" i="7" l="1"/>
  <c r="L46" i="7" l="1"/>
  <c r="I46" i="7"/>
  <c r="K46" i="7" l="1"/>
  <c r="M46" i="7"/>
  <c r="G47" i="7" s="1"/>
  <c r="J47" i="7" l="1"/>
  <c r="L47" i="7" l="1"/>
  <c r="I47" i="7"/>
  <c r="K47" i="7" l="1"/>
  <c r="M47" i="7"/>
  <c r="G48" i="7" s="1"/>
  <c r="J48" i="7" l="1"/>
  <c r="L48" i="7" l="1"/>
  <c r="I48" i="7"/>
  <c r="K48" i="7" l="1"/>
  <c r="M48" i="7"/>
  <c r="G49" i="7" s="1"/>
  <c r="J49" i="7" l="1"/>
  <c r="L49" i="7" l="1"/>
  <c r="I49" i="7"/>
  <c r="K49" i="7" l="1"/>
  <c r="M49" i="7"/>
  <c r="G50" i="7" s="1"/>
  <c r="J50" i="7" l="1"/>
  <c r="L50" i="7" l="1"/>
  <c r="I50" i="7"/>
  <c r="K50" i="7" l="1"/>
  <c r="M50" i="7"/>
  <c r="G51" i="7" s="1"/>
  <c r="J51" i="7" l="1"/>
  <c r="L51" i="7" l="1"/>
  <c r="I51" i="7"/>
  <c r="K51" i="7" l="1"/>
  <c r="M51" i="7"/>
  <c r="G52" i="7" s="1"/>
  <c r="J52" i="7" l="1"/>
  <c r="L52" i="7" l="1"/>
  <c r="I52" i="7"/>
  <c r="K52" i="7" l="1"/>
  <c r="M52" i="7"/>
  <c r="G53" i="7" s="1"/>
  <c r="J53" i="7" l="1"/>
  <c r="L53" i="7" l="1"/>
  <c r="I53" i="7"/>
  <c r="K53" i="7" l="1"/>
  <c r="M53" i="7"/>
  <c r="G54" i="7" s="1"/>
  <c r="J54" i="7" l="1"/>
  <c r="L54" i="7" l="1"/>
  <c r="I54" i="7"/>
  <c r="K54" i="7" l="1"/>
  <c r="M54" i="7"/>
  <c r="G55" i="7" s="1"/>
  <c r="J55" i="7" l="1"/>
  <c r="L55" i="7" l="1"/>
  <c r="I55" i="7"/>
  <c r="K55" i="7" l="1"/>
  <c r="M55" i="7"/>
  <c r="G56" i="7" s="1"/>
  <c r="J56" i="7" l="1"/>
  <c r="L56" i="7" l="1"/>
  <c r="I56" i="7"/>
  <c r="K56" i="7" l="1"/>
  <c r="M56" i="7"/>
  <c r="G57" i="7" s="1"/>
  <c r="J57" i="7" l="1"/>
  <c r="L57" i="7" l="1"/>
  <c r="I57" i="7"/>
  <c r="K57" i="7" l="1"/>
  <c r="M57" i="7"/>
  <c r="C66" i="5" l="1"/>
  <c r="C132" i="5" s="1"/>
  <c r="C184" i="5" s="1"/>
  <c r="P184" i="5"/>
  <c r="P64" i="5"/>
  <c r="P66" i="5"/>
  <c r="P132" i="5"/>
</calcChain>
</file>

<file path=xl/sharedStrings.xml><?xml version="1.0" encoding="utf-8"?>
<sst xmlns="http://schemas.openxmlformats.org/spreadsheetml/2006/main" count="847" uniqueCount="446">
  <si>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</si>
  <si>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</si>
  <si>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</si>
  <si>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</si>
  <si>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</si>
  <si>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</si>
  <si>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</si>
  <si>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</si>
  <si>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</si>
  <si>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</si>
  <si>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</si>
  <si>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</si>
  <si>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</si>
  <si>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</si>
  <si>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</si>
  <si>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</si>
  <si>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</si>
  <si>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</si>
  <si>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</si>
  <si>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</si>
  <si>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</si>
  <si>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</si>
  <si>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</si>
  <si>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</si>
  <si>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</si>
  <si>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</si>
  <si>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</si>
  <si>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</si>
  <si>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</si>
  <si>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</si>
  <si>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</si>
  <si>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</si>
  <si>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</si>
  <si>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</si>
  <si>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</si>
  <si>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</si>
  <si>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</si>
  <si>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</si>
  <si>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</si>
  <si>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</si>
  <si>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</si>
  <si>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</si>
  <si>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</si>
  <si>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</si>
  <si>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</si>
  <si>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</si>
  <si>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</si>
  <si>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</si>
  <si>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</si>
  <si>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</si>
  <si>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</si>
  <si>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</si>
  <si>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</si>
  <si>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</si>
  <si>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</si>
  <si>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</si>
  <si>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</si>
  <si>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</si>
  <si>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</si>
  <si>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</si>
  <si>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</si>
  <si>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</si>
  <si>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</si>
  <si>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</si>
  <si>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</si>
  <si>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</si>
  <si>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</si>
  <si>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</si>
  <si>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</si>
  <si>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</si>
  <si>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</si>
  <si>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</si>
  <si>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</si>
  <si>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</si>
  <si>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</si>
  <si>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</si>
  <si>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</si>
  <si>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</si>
  <si>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</si>
  <si>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</si>
  <si>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</si>
  <si>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</si>
  <si>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</si>
  <si>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</si>
  <si>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</si>
  <si>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</si>
  <si>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</si>
  <si>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</si>
  <si>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</si>
  <si>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</si>
  <si>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</si>
  <si>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</si>
  <si>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</si>
  <si>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</si>
  <si>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</si>
  <si>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</si>
  <si>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</si>
  <si>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</si>
  <si>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</si>
  <si>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</si>
  <si>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</si>
  <si>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</si>
  <si>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</si>
  <si>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</si>
  <si>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</si>
  <si>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</si>
  <si>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</si>
  <si>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8000-0000</t>
  </si>
  <si>
    <t> DEPRECIATION EXPENSE</t>
  </si>
  <si>
    <t>8110-0000</t>
  </si>
  <si>
    <t> DEPRECIATION - BUILDING</t>
  </si>
  <si>
    <t>8150-0000</t>
  </si>
  <si>
    <t> DEPRECIATION - BLDG IMPRVMT</t>
  </si>
  <si>
    <t>8170-0000</t>
  </si>
  <si>
    <t> DEP. - TENANT IMPROVEMENT</t>
  </si>
  <si>
    <t>8390-0000</t>
  </si>
  <si>
    <t>  TOTAL DEPRECIATION EXPENSE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</si>
  <si>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</si>
  <si>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</si>
  <si>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</si>
  <si>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</si>
  <si>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</si>
  <si>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</si>
  <si>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8601-0000</t>
  </si>
  <si>
    <t>AMORTIZATION</t>
  </si>
  <si>
    <t>8710-0000</t>
  </si>
  <si>
    <t> AMORT. - MTGE AQUISITION</t>
  </si>
  <si>
    <t>8715-0000</t>
  </si>
  <si>
    <t> AMORT. - DEFERRED LEASING</t>
  </si>
  <si>
    <t>8761-0000</t>
  </si>
  <si>
    <t>TOTAL AMORTIZATION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</si>
  <si>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</si>
  <si>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</si>
  <si>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</si>
  <si>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</si>
  <si>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</si>
  <si>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</si>
  <si>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</si>
  <si>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</si>
  <si>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</si>
  <si>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</si>
  <si>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</si>
  <si>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</si>
  <si>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</si>
  <si>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1370-0000</t>
  </si>
  <si>
    <t> PREPAID INSURANCE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</si>
  <si>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</si>
  <si>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</si>
  <si>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</si>
  <si>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</si>
  <si>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</si>
  <si>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</si>
  <si>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</si>
  <si>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</si>
  <si>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</si>
  <si>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</si>
  <si>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</si>
  <si>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</si>
  <si>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</si>
  <si>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</si>
  <si>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</si>
  <si>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</si>
  <si>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</si>
  <si>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</si>
  <si>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</si>
  <si>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</si>
  <si>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2270-0000</t>
  </si>
  <si>
    <t> DEFERRED EXPENSE PAYABLE</t>
  </si>
  <si>
    <t>2300-0000</t>
  </si>
  <si>
    <t> TAX LIABILITIES</t>
  </si>
  <si>
    <t>2999-0000</t>
  </si>
  <si>
    <t>TOTAL LIABILITIES</t>
  </si>
  <si>
    <t>3005-0000</t>
  </si>
  <si>
    <t> CAPITAL-OWNER</t>
  </si>
  <si>
    <t>3117-0000</t>
  </si>
  <si>
    <t> CAPITAL - ISAAC JEMAL</t>
  </si>
  <si>
    <t>3119-0000</t>
  </si>
  <si>
    <t> CAPITAL - JOSEPH I. JEMAL</t>
  </si>
  <si>
    <t>3120-0000</t>
  </si>
  <si>
    <t> CAPITAL - SAMUEL I. JEMAL</t>
  </si>
  <si>
    <t>3147-0000</t>
  </si>
  <si>
    <t> CAPITAL - GRS RUTHERFORD, INC</t>
  </si>
  <si>
    <t>3399-0001</t>
  </si>
  <si>
    <t> TOTAL OWNER CAPITAL</t>
  </si>
  <si>
    <t>3399-0005</t>
  </si>
  <si>
    <t> OWNERS DRAWING</t>
  </si>
  <si>
    <t>3417-0000</t>
  </si>
  <si>
    <t> DRAWING - ISAAC S. JEMAL</t>
  </si>
  <si>
    <t>3419-0000</t>
  </si>
  <si>
    <t> DRAWING - JOSEPH I. JEMAL</t>
  </si>
  <si>
    <t>3420-0000</t>
  </si>
  <si>
    <t> DRAWING - SAMUEL I. JEMAL</t>
  </si>
  <si>
    <t>3448-0000</t>
  </si>
  <si>
    <t> DRAWING - GRS</t>
  </si>
  <si>
    <t>3800-0000</t>
  </si>
  <si>
    <t> TOTAL OWNER DRAWING</t>
  </si>
  <si>
    <t> OTHER NON CASH EXPENSES</t>
  </si>
  <si>
    <t> AMORT. - MTGE ACQUISITION</t>
  </si>
  <si>
    <t>8799-0000</t>
  </si>
  <si>
    <t> TOTAL OTHER NON CASH EXPENSES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</si>
  <si>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</si>
  <si>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</si>
  <si>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</si>
  <si>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</si>
  <si>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</si>
  <si>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</si>
  <si>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</si>
  <si>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</si>
  <si>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</si>
  <si>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</si>
  <si>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</si>
  <si>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</si>
  <si>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</si>
  <si>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</si>
  <si>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</si>
  <si>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</si>
  <si>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</si>
  <si>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</si>
  <si>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</si>
  <si>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</si>
  <si>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</si>
  <si>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</si>
  <si>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</si>
  <si>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</si>
  <si>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</si>
  <si>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</si>
  <si>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</si>
  <si>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</si>
  <si>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</si>
  <si>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</si>
  <si>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</si>
  <si>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</si>
  <si>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</si>
  <si>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</si>
  <si>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</si>
  <si>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</si>
  <si>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</si>
  <si>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</si>
  <si>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</si>
  <si>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</si>
  <si>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</si>
  <si>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</si>
  <si>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</si>
  <si>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</si>
  <si>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</si>
  <si>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</si>
  <si>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</si>
  <si>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</si>
  <si>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</si>
  <si>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</si>
  <si>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</si>
  <si>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</si>
  <si>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</si>
  <si>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</si>
  <si>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</si>
  <si>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</si>
  <si>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</si>
  <si>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</si>
  <si>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</si>
  <si>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</si>
  <si>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</si>
  <si>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</si>
  <si>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</si>
  <si>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</si>
  <si>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</si>
  <si>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</si>
  <si>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</si>
  <si>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</si>
  <si>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</si>
  <si>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</si>
  <si>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</si>
  <si>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</si>
  <si>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</si>
  <si>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</si>
  <si>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</si>
  <si>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</si>
  <si>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</si>
  <si>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</si>
  <si>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</si>
  <si>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</si>
  <si>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</si>
  <si>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</si>
  <si>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</si>
  <si>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</si>
  <si>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</si>
  <si>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</si>
  <si>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</si>
  <si>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</si>
  <si>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</si>
  <si>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</si>
  <si>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</si>
  <si>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</si>
  <si>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</si>
  <si>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</si>
  <si>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</si>
  <si>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</si>
  <si>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</si>
  <si>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</si>
  <si>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</si>
  <si>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</si>
  <si>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</si>
  <si>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</si>
  <si>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</si>
  <si>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</si>
  <si>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</si>
  <si>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</si>
  <si>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</si>
  <si>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</si>
  <si>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</si>
  <si>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</si>
  <si>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</si>
  <si>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</si>
  <si>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</si>
  <si>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</si>
  <si>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</si>
  <si>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</si>
  <si>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</si>
  <si>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</si>
  <si>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</si>
  <si>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</si>
  <si>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</si>
  <si>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</si>
  <si>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</si>
  <si>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</si>
  <si>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</si>
  <si>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</si>
  <si>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</si>
  <si>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</si>
  <si>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</si>
  <si>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</si>
  <si>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</si>
  <si>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</si>
  <si>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</si>
  <si>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</si>
  <si>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 xml:space="preserve">Property value increase, </t>
  </si>
  <si>
    <t>Sunrise Tae Kwon Do</t>
  </si>
  <si>
    <t>Size</t>
  </si>
  <si>
    <t>Price PSF</t>
  </si>
  <si>
    <t>NA</t>
  </si>
  <si>
    <t>Loan Amount</t>
  </si>
  <si>
    <t>Interest Rate</t>
  </si>
  <si>
    <t>Total Cost</t>
  </si>
  <si>
    <t>Annual Payments</t>
  </si>
  <si>
    <t>Payments</t>
  </si>
  <si>
    <t>April 2016 Charge</t>
  </si>
  <si>
    <t>May 2016 Charge</t>
  </si>
  <si>
    <t>Quest Diagnostics</t>
  </si>
  <si>
    <t>Months</t>
  </si>
  <si>
    <t>May 2016 charge</t>
  </si>
  <si>
    <t>Vacancy 3</t>
  </si>
  <si>
    <t>June 2016 Charge</t>
  </si>
  <si>
    <t>Dunkin Donuts</t>
  </si>
  <si>
    <t>Owed (April)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</si>
  <si>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</si>
  <si>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</si>
  <si>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</si>
  <si>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</si>
  <si>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</si>
  <si>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</si>
  <si>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</si>
  <si>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</si>
  <si>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</si>
  <si>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</si>
  <si>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</si>
  <si>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</si>
  <si>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</si>
  <si>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</si>
  <si>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</si>
  <si>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</si>
  <si>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</si>
  <si>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</si>
  <si>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</si>
  <si>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</si>
  <si>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</si>
  <si>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</si>
  <si>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</si>
  <si>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</si>
  <si>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</si>
  <si>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</si>
  <si>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</si>
  <si>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</si>
  <si>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</si>
  <si>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</si>
  <si>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</si>
  <si>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</si>
  <si>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</si>
  <si>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</si>
  <si>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</si>
  <si>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</si>
  <si>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</si>
  <si>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</si>
  <si>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</si>
  <si>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</si>
  <si>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</si>
  <si>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</si>
  <si>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</si>
  <si>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</si>
  <si>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</si>
  <si>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</si>
  <si>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</si>
  <si>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</si>
  <si>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</si>
  <si>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</si>
  <si>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</si>
  <si>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</si>
  <si>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</si>
  <si>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</si>
  <si>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</si>
  <si>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</si>
  <si>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</si>
  <si>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</si>
  <si>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</si>
  <si>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</si>
  <si>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</si>
  <si>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</si>
  <si>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Family Dollar</t>
  </si>
  <si>
    <t>Century 21 1st Floor</t>
  </si>
  <si>
    <t>Century 21 2nd Floor</t>
  </si>
  <si>
    <t>LQ Laundromat</t>
  </si>
  <si>
    <t>VACANT</t>
  </si>
  <si>
    <t>RCD 9/15/16</t>
  </si>
  <si>
    <t>RCD 11/1/16</t>
  </si>
  <si>
    <t>RCD 5/17/16</t>
  </si>
  <si>
    <t>Total Rent Revenue</t>
  </si>
  <si>
    <t>CAM CHARGES</t>
  </si>
  <si>
    <t>CAM PSF</t>
  </si>
  <si>
    <t>REAL ESTATE TAX CHARGES</t>
  </si>
  <si>
    <t>RETax PSF</t>
  </si>
  <si>
    <t>Total Real Estate Taxes Revenue</t>
  </si>
  <si>
    <t>2015 OPERATING BUDGET - RUTHERFORD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</si>
  <si>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</si>
  <si>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</si>
  <si>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</si>
  <si>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</si>
  <si>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</si>
  <si>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</si>
  <si>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</si>
  <si>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</si>
  <si>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</si>
  <si>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</si>
  <si>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REAL ESTATE ESCROW IS AN ASSET, BUT NEED TO BE DEDUCTED FROM THE CASH OPERATING</t>
  </si>
  <si>
    <t>Allowable for distrbutions</t>
  </si>
  <si>
    <t>April 2016 Released $155K instead of $300K</t>
  </si>
  <si>
    <t>2016 Projected Budget</t>
  </si>
  <si>
    <t>Remaining in Interest Account</t>
  </si>
  <si>
    <t>to be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</si>
</sst>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  <numFmt numFmtId="171" formatCode="[$-409]mmm\-yy;@"/>
    <numFmt numFmtId="172" formatCode="mm/dd/yy;@"/>
    <numFmt numFmtId="173" formatCode="0.000%"/>
    <numFmt numFmtId="174" formatCode="[$-409]mmmm\-yy;@"/>
    <numFmt numFmtId="175" formatCode="&quot;$&quot;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41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" fontId="19" fillId="0" borderId="0" xfId="0" applyNumberFormat="1" applyFont="1" applyBorder="1" applyAlignment="1">
      <alignment horizontal="right"/>
    </xf>
    <xf numFmtId="0" fontId="16" fillId="0" borderId="0" xfId="44" applyFont="1"/>
    <xf numFmtId="0" fontId="24" fillId="0" borderId="0" xfId="44" applyFont="1" applyAlignment="1">
      <alignment horizontal="center"/>
    </xf>
    <xf numFmtId="170" fontId="24" fillId="0" borderId="12" xfId="45" applyNumberFormat="1" applyFont="1" applyBorder="1" applyAlignment="1">
      <alignment horizontal="center"/>
    </xf>
    <xf numFmtId="170" fontId="24" fillId="0" borderId="0" xfId="45" applyNumberFormat="1" applyFont="1"/>
    <xf numFmtId="170" fontId="24" fillId="0" borderId="13" xfId="45" applyNumberFormat="1" applyFont="1" applyBorder="1"/>
    <xf numFmtId="170" fontId="25" fillId="0" borderId="0" xfId="45" applyNumberFormat="1" applyFont="1"/>
    <xf numFmtId="0" fontId="24" fillId="0" borderId="0" xfId="44" applyFont="1"/>
    <xf numFmtId="171" fontId="26" fillId="0" borderId="0" xfId="44" applyNumberFormat="1" applyFont="1" applyAlignment="1">
      <alignment horizontal="center"/>
    </xf>
    <xf numFmtId="171" fontId="26" fillId="0" borderId="12" xfId="45" applyNumberFormat="1" applyFont="1" applyBorder="1" applyAlignment="1">
      <alignment horizontal="center"/>
    </xf>
    <xf numFmtId="171" fontId="26" fillId="0" borderId="0" xfId="45" applyNumberFormat="1" applyFont="1" applyAlignment="1">
      <alignment horizontal="center"/>
    </xf>
    <xf numFmtId="171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70" fontId="1" fillId="34" borderId="12" xfId="45" applyNumberFormat="1" applyFont="1" applyFill="1" applyBorder="1" applyAlignment="1">
      <alignment horizontal="center"/>
    </xf>
    <xf numFmtId="170" fontId="24" fillId="34" borderId="0" xfId="45" applyNumberFormat="1" applyFont="1" applyFill="1"/>
    <xf numFmtId="170" fontId="24" fillId="34" borderId="13" xfId="45" applyNumberFormat="1" applyFont="1" applyFill="1" applyBorder="1"/>
    <xf numFmtId="170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70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70" fontId="26" fillId="35" borderId="12" xfId="45" applyNumberFormat="1" applyFont="1" applyFill="1" applyBorder="1" applyAlignment="1">
      <alignment horizontal="center"/>
    </xf>
    <xf numFmtId="170" fontId="26" fillId="35" borderId="0" xfId="45" applyNumberFormat="1" applyFont="1" applyFill="1"/>
    <xf numFmtId="170" fontId="26" fillId="35" borderId="13" xfId="45" applyNumberFormat="1" applyFont="1" applyFill="1" applyBorder="1"/>
    <xf numFmtId="170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70" fontId="24" fillId="35" borderId="12" xfId="45" applyNumberFormat="1" applyFont="1" applyFill="1" applyBorder="1" applyAlignment="1">
      <alignment horizontal="center"/>
    </xf>
    <xf numFmtId="170" fontId="24" fillId="35" borderId="0" xfId="45" applyNumberFormat="1" applyFont="1" applyFill="1"/>
    <xf numFmtId="170" fontId="24" fillId="35" borderId="13" xfId="45" applyNumberFormat="1" applyFont="1" applyFill="1" applyBorder="1"/>
    <xf numFmtId="170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70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70" fontId="24" fillId="34" borderId="12" xfId="45" applyNumberFormat="1" applyFont="1" applyFill="1" applyBorder="1" applyAlignment="1">
      <alignment horizontal="center"/>
    </xf>
    <xf numFmtId="170" fontId="26" fillId="35" borderId="0" xfId="45" applyNumberFormat="1" applyFont="1" applyFill="1" applyAlignment="1">
      <alignment horizontal="center"/>
    </xf>
    <xf numFmtId="170" fontId="28" fillId="0" borderId="0" xfId="45" applyNumberFormat="1" applyFont="1"/>
    <xf numFmtId="170" fontId="24" fillId="0" borderId="0" xfId="45" applyNumberFormat="1" applyFont="1" applyAlignment="1">
      <alignment horizontal="right"/>
    </xf>
    <xf numFmtId="44" fontId="24" fillId="0" borderId="0" xfId="45" applyNumberFormat="1" applyFont="1"/>
    <xf numFmtId="17" fontId="20" fillId="33" borderId="10" xfId="0" applyNumberFormat="1" applyFont="1" applyFill="1" applyBorder="1" applyAlignment="1">
      <alignment horizontal="center" vertical="center" wrapText="1"/>
    </xf>
    <xf numFmtId="43" fontId="20" fillId="33" borderId="10" xfId="1" applyFont="1" applyFill="1" applyBorder="1" applyAlignment="1">
      <alignment horizontal="center" vertical="center" wrapText="1"/>
    </xf>
    <xf numFmtId="43" fontId="19" fillId="0" borderId="0" xfId="1" applyFont="1" applyAlignment="1">
      <alignment horizontal="center"/>
    </xf>
    <xf numFmtId="43" fontId="19" fillId="0" borderId="0" xfId="1" applyFont="1" applyAlignment="1">
      <alignment horizontal="right"/>
    </xf>
    <xf numFmtId="43" fontId="20" fillId="0" borderId="0" xfId="1" applyFont="1" applyAlignment="1">
      <alignment horizontal="center"/>
    </xf>
    <xf numFmtId="43" fontId="20" fillId="0" borderId="0" xfId="1" applyFont="1" applyAlignment="1">
      <alignment horizontal="right"/>
    </xf>
    <xf numFmtId="43" fontId="0" fillId="0" borderId="0" xfId="1" applyFont="1"/>
    <xf numFmtId="0" fontId="1" fillId="0" borderId="0" xfId="44" applyFont="1" applyFill="1"/>
    <xf numFmtId="0" fontId="1" fillId="0" borderId="0" xfId="44" applyFont="1" applyFill="1" applyAlignment="1">
      <alignment horizontal="center" vertical="center" wrapText="1"/>
    </xf>
    <xf numFmtId="172" fontId="1" fillId="0" borderId="0" xfId="44" applyNumberFormat="1" applyFont="1" applyFill="1" applyAlignment="1">
      <alignment horizontal="center" vertical="center" wrapText="1"/>
    </xf>
    <xf numFmtId="44" fontId="1" fillId="0" borderId="0" xfId="45" applyFont="1" applyFill="1" applyAlignment="1">
      <alignment horizontal="center" vertical="center" wrapText="1"/>
    </xf>
    <xf numFmtId="10" fontId="1" fillId="35" borderId="0" xfId="46" applyNumberFormat="1" applyFont="1" applyFill="1"/>
    <xf numFmtId="0" fontId="1" fillId="0" borderId="0" xfId="44" applyFont="1" applyFill="1" applyAlignment="1">
      <alignment horizontal="center"/>
    </xf>
    <xf numFmtId="172" fontId="1" fillId="0" borderId="0" xfId="44" applyNumberFormat="1" applyFont="1" applyFill="1"/>
    <xf numFmtId="44" fontId="1" fillId="0" borderId="0" xfId="44" applyNumberFormat="1" applyFont="1" applyFill="1"/>
    <xf numFmtId="44" fontId="1" fillId="0" borderId="0" xfId="45" applyFont="1" applyFill="1"/>
    <xf numFmtId="44" fontId="1" fillId="35" borderId="0" xfId="45" applyFont="1" applyFill="1"/>
    <xf numFmtId="0" fontId="16" fillId="0" borderId="14" xfId="44" applyFont="1" applyFill="1" applyBorder="1"/>
    <xf numFmtId="0" fontId="1" fillId="0" borderId="15" xfId="44" applyFont="1" applyFill="1" applyBorder="1"/>
    <xf numFmtId="0" fontId="1" fillId="0" borderId="13" xfId="44" applyFont="1" applyFill="1" applyBorder="1"/>
    <xf numFmtId="3" fontId="1" fillId="0" borderId="12" xfId="44" applyNumberFormat="1" applyFont="1" applyFill="1" applyBorder="1"/>
    <xf numFmtId="0" fontId="1" fillId="0" borderId="12" xfId="44" applyFont="1" applyFill="1" applyBorder="1"/>
    <xf numFmtId="0" fontId="1" fillId="0" borderId="0" xfId="44" applyFont="1" applyBorder="1"/>
    <xf numFmtId="44" fontId="1" fillId="0" borderId="0" xfId="45" applyFont="1" applyBorder="1"/>
    <xf numFmtId="173" fontId="1" fillId="0" borderId="0" xfId="46" applyNumberFormat="1" applyFont="1" applyBorder="1"/>
    <xf numFmtId="44" fontId="1" fillId="0" borderId="12" xfId="45" applyFont="1" applyFill="1" applyBorder="1"/>
    <xf numFmtId="0" fontId="1" fillId="0" borderId="16" xfId="44" applyFont="1" applyFill="1" applyBorder="1"/>
    <xf numFmtId="44" fontId="1" fillId="0" borderId="17" xfId="45" applyFont="1" applyFill="1" applyBorder="1"/>
    <xf numFmtId="0" fontId="16" fillId="0" borderId="14" xfId="44" applyFont="1" applyFill="1" applyBorder="1" applyAlignment="1">
      <alignment horizontal="center" vertical="center" wrapText="1"/>
    </xf>
    <xf numFmtId="44" fontId="1" fillId="0" borderId="15" xfId="45" applyFont="1" applyFill="1" applyBorder="1" applyAlignment="1">
      <alignment horizontal="center" vertical="center" wrapText="1"/>
    </xf>
    <xf numFmtId="37" fontId="1" fillId="0" borderId="12" xfId="45" applyNumberFormat="1" applyFont="1" applyFill="1" applyBorder="1"/>
    <xf numFmtId="0" fontId="1" fillId="35" borderId="0" xfId="44" applyFont="1" applyFill="1"/>
    <xf numFmtId="8" fontId="1" fillId="35" borderId="0" xfId="44" applyNumberFormat="1" applyFont="1" applyFill="1"/>
    <xf numFmtId="0" fontId="1" fillId="0" borderId="0" xfId="44" applyFont="1" applyFill="1" applyBorder="1" applyAlignment="1">
      <alignment horizontal="center"/>
    </xf>
    <xf numFmtId="44" fontId="1" fillId="0" borderId="0" xfId="44" applyNumberFormat="1" applyFont="1" applyFill="1" applyBorder="1"/>
    <xf numFmtId="44" fontId="1" fillId="0" borderId="0" xfId="45" applyFont="1" applyFill="1" applyBorder="1"/>
    <xf numFmtId="44" fontId="1" fillId="0" borderId="12" xfId="44" applyNumberFormat="1" applyFont="1" applyFill="1" applyBorder="1"/>
    <xf numFmtId="44" fontId="1" fillId="0" borderId="17" xfId="44" applyNumberFormat="1" applyFont="1" applyFill="1" applyBorder="1"/>
    <xf numFmtId="0" fontId="1" fillId="0" borderId="0" xfId="44" applyFont="1" applyFill="1" applyBorder="1"/>
    <xf numFmtId="172" fontId="1" fillId="0" borderId="0" xfId="44" applyNumberFormat="1" applyFont="1" applyFill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74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75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0" fontId="29" fillId="0" borderId="0" xfId="44" applyFont="1" applyAlignment="1">
      <alignment horizontal="center" vertical="center"/>
    </xf>
    <xf numFmtId="44" fontId="16" fillId="0" borderId="18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70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71" fontId="16" fillId="0" borderId="0" xfId="45" applyNumberFormat="1" applyFont="1" applyAlignment="1">
      <alignment horizontal="center"/>
    </xf>
    <xf numFmtId="170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70" fontId="1" fillId="34" borderId="0" xfId="45" applyNumberFormat="1" applyFont="1" applyFill="1"/>
    <xf numFmtId="44" fontId="1" fillId="0" borderId="0" xfId="45" applyFont="1" applyAlignment="1">
      <alignment horizontal="center"/>
    </xf>
    <xf numFmtId="0" fontId="31" fillId="35" borderId="0" xfId="44" applyFont="1" applyFill="1"/>
    <xf numFmtId="0" fontId="31" fillId="35" borderId="0" xfId="44" applyFont="1" applyFill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70" fontId="31" fillId="35" borderId="0" xfId="45" applyNumberFormat="1" applyFont="1" applyFill="1"/>
    <xf numFmtId="170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70" fontId="16" fillId="35" borderId="0" xfId="45" applyNumberFormat="1" applyFont="1" applyFill="1"/>
    <xf numFmtId="43" fontId="19" fillId="0" borderId="0" xfId="0" applyNumberFormat="1" applyFont="1" applyAlignment="1">
      <alignment horizontal="center"/>
    </xf>
    <xf numFmtId="4" fontId="20" fillId="0" borderId="11" xfId="0" applyNumberFormat="1" applyFont="1" applyBorder="1" applyAlignment="1">
      <alignment horizontal="right"/>
    </xf>
    <xf numFmtId="4" fontId="20" fillId="0" borderId="0" xfId="0" applyNumberFormat="1" applyFont="1" applyBorder="1" applyAlignment="1">
      <alignment horizontal="right"/>
    </xf>
    <xf numFmtId="0" fontId="16" fillId="0" borderId="0" xfId="0" applyFont="1"/>
    <xf numFmtId="4" fontId="16" fillId="0" borderId="0" xfId="0" applyNumberFormat="1" applyFont="1"/>
    <xf numFmtId="0" fontId="2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" fontId="19" fillId="0" borderId="19" xfId="0" applyNumberFormat="1" applyFont="1" applyBorder="1" applyAlignment="1">
      <alignment horizontal="right"/>
    </xf>
    <xf numFmtId="4" fontId="20" fillId="0" borderId="18" xfId="0" applyNumberFormat="1" applyFont="1" applyBorder="1" applyAlignment="1">
      <alignment horizontal="right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20">
          <cell r="P20">
            <v>14493</v>
          </cell>
        </row>
        <row r="21">
          <cell r="P21">
            <v>14493</v>
          </cell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topLeftCell="A73"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10" t="s">
        <v>202</v>
      </c>
      <c r="B1" s="10"/>
      <c r="C1" s="10"/>
      <c r="D1" s="10"/>
      <c r="E1" s="10"/>
      <c r="F1" s="10"/>
      <c r="G1" s="10"/>
    </row>
    <row r="2" spans="1:9" ht="15.75" x14ac:dyDescent="0.25">
      <c r="A2" s="11" t="s">
        <v>235</v>
      </c>
      <c r="B2" s="11"/>
      <c r="C2" s="11"/>
      <c r="D2" s="11"/>
      <c r="E2" s="11"/>
      <c r="F2" s="11"/>
      <c r="G2" s="11"/>
    </row>
    <row r="3" spans="1:9" x14ac:dyDescent="0.25">
      <c r="A3" s="10"/>
      <c r="B3" s="10"/>
      <c r="C3" s="10"/>
      <c r="D3" s="10"/>
      <c r="E3" s="10"/>
      <c r="F3" s="10"/>
      <c r="G3" s="10"/>
    </row>
    <row r="4" spans="1:9" x14ac:dyDescent="0.25">
      <c r="A4" s="10"/>
      <c r="B4" s="10"/>
      <c r="C4" s="10"/>
      <c r="D4" s="10"/>
      <c r="E4" s="10"/>
      <c r="F4" s="10"/>
      <c r="G4" s="10"/>
    </row>
    <row r="5" spans="1:9" s="13" customFormat="1" ht="21.75" thickBot="1" x14ac:dyDescent="0.3">
      <c r="A5" s="12"/>
      <c r="B5" s="12"/>
      <c r="C5" s="12" t="s">
        <v>237</v>
      </c>
      <c r="D5" s="12" t="s">
        <v>236</v>
      </c>
      <c r="E5" s="12"/>
      <c r="F5" s="12" t="s">
        <v>238</v>
      </c>
      <c r="G5" s="12" t="s">
        <v>239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_xlfn.IFNA(VLOOKUP(A10,Template!$A$10:$C$179,3,FALSE),)</f>
        <v>346324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_xlfn.IFNA(VLOOKUP(A11,Template!$A$10:$C$179,3,FALSE),)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VLOOKUP(A15,Template!$A$9:$B$180,2,FALSE)</f>
        <v> REIMB. - UTILITIES</v>
      </c>
      <c r="C15" s="9"/>
      <c r="D15" s="9"/>
      <c r="E15" s="9"/>
      <c r="F15" s="4">
        <f>_xlfn.IFNA(VLOOKUP(A15,Template!$A$10:$C$179,3,FALSE),)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_xlfn.IFNA(VLOOKUP(A16,Template!$A$10:$C$179,3,FALSE),)</f>
        <v>30030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_xlfn.IFNA(VLOOKUP(A17,Template!$A$10:$C$179,3,FALSE),)</f>
        <v>4680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_xlfn.IFNA(VLOOKUP(A18,Template!$A$10:$C$179,3,FALSE),)</f>
        <v>77437</v>
      </c>
      <c r="G18" s="4">
        <v>0</v>
      </c>
      <c r="I18" s="1"/>
    </row>
    <row r="19" spans="1:9" x14ac:dyDescent="0.25">
      <c r="A19" s="1" t="s">
        <v>21</v>
      </c>
      <c r="B19" s="5" t="str">
        <f>VLOOKUP(A19,Template!$A$9:$B$180,2,FALSE)</f>
        <v> CAM RECOVERY</v>
      </c>
      <c r="C19" s="4"/>
      <c r="D19" s="4"/>
      <c r="E19" s="4"/>
      <c r="F19" s="4">
        <f>_xlfn.IFNA(VLOOKUP(A19,Template!$A$10:$C$179,3,FALSE),)</f>
        <v>0</v>
      </c>
      <c r="G19" s="4"/>
      <c r="I19" s="1"/>
    </row>
    <row r="20" spans="1:9" x14ac:dyDescent="0.25">
      <c r="A20" s="1" t="s">
        <v>23</v>
      </c>
      <c r="B20" s="5" t="str">
        <f>VLOOKUP(A20,Template!$A$9:$B$180,2,FALSE)</f>
        <v> INSURANCE RECOVERY</v>
      </c>
      <c r="C20" s="4"/>
      <c r="D20" s="4"/>
      <c r="E20" s="4"/>
      <c r="F20" s="4">
        <f>_xlfn.IFNA(VLOOKUP(A20,Template!$A$10:$C$179,3,FALSE),)</f>
        <v>0</v>
      </c>
      <c r="G20" s="4"/>
      <c r="I20" s="1"/>
    </row>
    <row r="21" spans="1:9" x14ac:dyDescent="0.25">
      <c r="A21" s="1" t="s">
        <v>25</v>
      </c>
      <c r="B21" s="5" t="str">
        <f>VLOOKUP(A21,Template!$A$9:$B$180,2,FALSE)</f>
        <v> TAX RECOVERY</v>
      </c>
      <c r="C21" s="4"/>
      <c r="D21" s="4"/>
      <c r="E21" s="4"/>
      <c r="F21" s="4">
        <f>_xlfn.IFNA(VLOOKUP(A21,Template!$A$10:$C$179,3,FALSE),)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_xlfn.IFNA(VLOOKUP(A22,Template!$A$10:$C$179,3,FALSE),)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_xlfn.IFNA(VLOOKUP(A23,Template!$A$10:$C$179,3,FALSE),)</f>
        <v>112147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234</v>
      </c>
      <c r="B28" s="5" t="s">
        <v>233</v>
      </c>
      <c r="C28" s="4"/>
      <c r="D28" s="4">
        <v>240.75</v>
      </c>
      <c r="E28" s="4"/>
      <c r="F28" s="4">
        <f>_xlfn.IFNA(VLOOKUP(A28,Template!$A$10:$C$179,3,FALSE),)</f>
        <v>5279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_xlfn.IFNA(VLOOKUP(A29,Template!$A$10:$C$179,3,FALSE),)</f>
        <v>3070</v>
      </c>
      <c r="G29" s="4">
        <v>0</v>
      </c>
      <c r="I29" s="1"/>
    </row>
    <row r="30" spans="1:9" x14ac:dyDescent="0.25">
      <c r="A30" s="1" t="s">
        <v>232</v>
      </c>
      <c r="B30" s="5" t="s">
        <v>231</v>
      </c>
      <c r="C30" s="4"/>
      <c r="D30" s="4">
        <v>22.61</v>
      </c>
      <c r="E30" s="4"/>
      <c r="F30" s="4">
        <f>_xlfn.IFNA(VLOOKUP(A30,Template!$A$10:$C$179,3,FALSE),)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_xlfn.IFNA(VLOOKUP(A31,Template!$A$10:$C$179,3,FALSE),)</f>
        <v>11800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_xlfn.IFNA(VLOOKUP(A32,Template!$A$10:$C$179,3,FALSE),)</f>
        <v>4800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_xlfn.IFNA(VLOOKUP(A33,Template!$A$10:$C$179,3,FALSE),)</f>
        <v>0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_xlfn.IFNA(VLOOKUP(A40,Template!$A$10:$C$179,3,FALSE),)</f>
        <v>2240</v>
      </c>
      <c r="G40" s="4">
        <v>0</v>
      </c>
      <c r="I40" s="1"/>
    </row>
    <row r="41" spans="1:9" x14ac:dyDescent="0.25">
      <c r="A41" s="1" t="s">
        <v>230</v>
      </c>
      <c r="B41" s="5" t="s">
        <v>229</v>
      </c>
      <c r="C41" s="4"/>
      <c r="D41" s="4">
        <v>-251.33</v>
      </c>
      <c r="E41" s="4"/>
      <c r="F41" s="4">
        <f>_xlfn.IFNA(VLOOKUP(A41,Template!$A$10:$C$179,3,FALSE),)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_xlfn.IFNA(VLOOKUP(A42,Template!$A$10:$C$179,3,FALSE),)</f>
        <v>182.68199999999999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_xlfn.IFNA(VLOOKUP(A43,Template!$A$10:$C$179,3,FALSE),)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_xlfn.IFNA(VLOOKUP(A44,Template!$A$10:$C$179,3,FALSE),)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_xlfn.IFNA(VLOOKUP(A45,Template!$A$10:$C$179,3,FALSE),)</f>
        <v>8150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_xlfn.IFNA(VLOOKUP(A46,Template!$A$10:$C$179,3,FALSE),)</f>
        <v>3600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_xlfn.IFNA(VLOOKUP(A51,Template!$A$10:$C$179,3,FALSE),)</f>
        <v>318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_xlfn.IFNA(VLOOKUP(A52,Template!$A$10:$C$179,3,FALSE),)</f>
        <v>974.30399999999997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_xlfn.IFNA(VLOOKUP(A53,Template!$A$10:$C$179,3,FALSE),)</f>
        <v>600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_xlfn.IFNA(VLOOKUP(A54,Template!$A$10:$C$179,3,FALSE),)</f>
        <v>180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117</v>
      </c>
      <c r="B58" s="5" t="s">
        <v>118</v>
      </c>
      <c r="C58" s="9"/>
      <c r="D58" s="9"/>
      <c r="E58" s="9"/>
      <c r="F58" s="9"/>
      <c r="G58" s="9"/>
      <c r="I58" s="1"/>
    </row>
    <row r="59" spans="1:9" x14ac:dyDescent="0.25">
      <c r="A59" s="1" t="s">
        <v>119</v>
      </c>
      <c r="B59" s="5" t="s">
        <v>120</v>
      </c>
      <c r="C59" s="4"/>
      <c r="D59" s="4">
        <v>27555.56</v>
      </c>
      <c r="E59" s="4"/>
      <c r="F59" s="4">
        <f>_xlfn.IFNA(VLOOKUP(A59,Template!$A$10:$C$179,3,FALSE),)</f>
        <v>159303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121</v>
      </c>
      <c r="B61" s="5" t="s">
        <v>122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131</v>
      </c>
      <c r="B64" s="5" t="s">
        <v>132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133</v>
      </c>
      <c r="B67" s="5" t="s">
        <v>134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135</v>
      </c>
      <c r="C69" s="9"/>
      <c r="D69" s="9"/>
      <c r="E69" s="9"/>
      <c r="F69" s="9"/>
      <c r="G69" s="9"/>
      <c r="I69" s="1"/>
    </row>
    <row r="70" spans="1:9" x14ac:dyDescent="0.25">
      <c r="A70" s="1" t="s">
        <v>136</v>
      </c>
      <c r="B70" s="5" t="s">
        <v>137</v>
      </c>
      <c r="C70" s="4"/>
      <c r="D70" s="4">
        <v>-13944.84</v>
      </c>
      <c r="E70" s="4"/>
      <c r="F70" s="4">
        <f>_xlfn.IFNA(VLOOKUP(A70,Template!$A$10:$C$179,3,FALSE),)</f>
        <v>83664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138</v>
      </c>
      <c r="B72" s="5" t="s">
        <v>139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140</v>
      </c>
      <c r="B73" s="5" t="s">
        <v>141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142</v>
      </c>
      <c r="B74" s="5" t="s">
        <v>143</v>
      </c>
      <c r="C74" s="4"/>
      <c r="D74" s="4">
        <v>-7935</v>
      </c>
      <c r="E74" s="4"/>
      <c r="F74" s="4">
        <f>_xlfn.IFNA(VLOOKUP(A74,Template!$A$10:$C$179,3,FALSE),)</f>
        <v>0</v>
      </c>
      <c r="G74" s="4">
        <v>0</v>
      </c>
      <c r="I74" s="1"/>
    </row>
    <row r="75" spans="1:9" x14ac:dyDescent="0.25">
      <c r="A75" s="1" t="s">
        <v>148</v>
      </c>
      <c r="B75" s="5" t="s">
        <v>149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150</v>
      </c>
      <c r="B77" s="5" t="s">
        <v>151</v>
      </c>
      <c r="C77" s="9"/>
      <c r="D77" s="9"/>
      <c r="E77" s="9"/>
      <c r="F77" s="9"/>
      <c r="G77" s="9"/>
      <c r="I77" s="1"/>
    </row>
    <row r="78" spans="1:9" x14ac:dyDescent="0.25">
      <c r="A78" s="1" t="s">
        <v>154</v>
      </c>
      <c r="B78" s="5" t="s">
        <v>155</v>
      </c>
      <c r="C78" s="4"/>
      <c r="D78" s="4">
        <v>-15419.53</v>
      </c>
      <c r="E78" s="4"/>
      <c r="F78" s="4">
        <f>_xlfn.IFNA(VLOOKUP(A78,Template!$A$10:$C$179,3,FALSE),)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156</v>
      </c>
      <c r="B80" s="5" t="s">
        <v>157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158</v>
      </c>
      <c r="B83" s="5" t="s">
        <v>159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160</v>
      </c>
      <c r="B85" s="5" t="s">
        <v>161</v>
      </c>
      <c r="C85" s="9"/>
      <c r="D85" s="9"/>
      <c r="E85" s="9"/>
      <c r="F85" s="9"/>
      <c r="G85" s="9"/>
      <c r="I85" s="1"/>
    </row>
    <row r="86" spans="1:9" x14ac:dyDescent="0.25">
      <c r="A86" s="1" t="s">
        <v>162</v>
      </c>
      <c r="B86" s="5" t="s">
        <v>163</v>
      </c>
      <c r="C86" s="4"/>
      <c r="D86" s="4">
        <v>-426.72</v>
      </c>
      <c r="E86" s="4"/>
      <c r="F86" s="4">
        <f>_xlfn.IFNA(VLOOKUP(A86,Template!$A$10:$C$179,3,FALSE),)</f>
        <v>0</v>
      </c>
      <c r="G86" s="4">
        <v>0</v>
      </c>
      <c r="I86" s="1"/>
    </row>
    <row r="87" spans="1:9" x14ac:dyDescent="0.25">
      <c r="A87" s="1" t="s">
        <v>164</v>
      </c>
      <c r="B87" s="5" t="s">
        <v>165</v>
      </c>
      <c r="C87" s="4"/>
      <c r="D87" s="4">
        <v>3355</v>
      </c>
      <c r="E87" s="4"/>
      <c r="F87" s="4">
        <f>_xlfn.IFNA(VLOOKUP(A87,Template!$A$10:$C$179,3,FALSE),)</f>
        <v>0</v>
      </c>
      <c r="G87" s="4">
        <v>0</v>
      </c>
      <c r="I87" s="1"/>
    </row>
    <row r="88" spans="1:9" ht="15.75" thickBot="1" x14ac:dyDescent="0.3">
      <c r="A88" s="1" t="s">
        <v>228</v>
      </c>
      <c r="B88" s="5" t="s">
        <v>227</v>
      </c>
      <c r="C88" s="4"/>
      <c r="D88" s="4">
        <v>6710</v>
      </c>
      <c r="E88" s="4"/>
      <c r="F88" s="4">
        <f>_xlfn.IFNA(VLOOKUP(A88,Template!$A$10:$C$179,3,FALSE),)</f>
        <v>0</v>
      </c>
      <c r="G88" s="4">
        <v>0</v>
      </c>
      <c r="I88" s="1"/>
    </row>
    <row r="89" spans="1:9" x14ac:dyDescent="0.25">
      <c r="A89" s="1" t="s">
        <v>170</v>
      </c>
      <c r="B89" s="5" t="s">
        <v>171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172</v>
      </c>
      <c r="B90" s="5" t="s">
        <v>173</v>
      </c>
      <c r="C90" s="9"/>
      <c r="D90" s="9"/>
      <c r="E90" s="9"/>
      <c r="F90" s="9"/>
      <c r="G90" s="9"/>
      <c r="I90" s="1"/>
    </row>
    <row r="91" spans="1:9" x14ac:dyDescent="0.25">
      <c r="A91" s="1" t="s">
        <v>182</v>
      </c>
      <c r="B91" s="5" t="s">
        <v>183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184</v>
      </c>
      <c r="B92" s="5" t="s">
        <v>185</v>
      </c>
      <c r="C92" s="9"/>
      <c r="D92" s="9"/>
      <c r="E92" s="9"/>
      <c r="F92" s="9"/>
      <c r="G92" s="9"/>
      <c r="I92" s="1"/>
    </row>
    <row r="93" spans="1:9" x14ac:dyDescent="0.25">
      <c r="A93" s="1" t="s">
        <v>194</v>
      </c>
      <c r="B93" s="5" t="s">
        <v>195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200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201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7"/>
      <c r="B98" s="7"/>
      <c r="C98" s="7"/>
      <c r="D98" s="7"/>
      <c r="E98" s="7"/>
      <c r="F98" s="7"/>
      <c r="G98" s="7"/>
      <c r="I98" s="1"/>
    </row>
    <row r="99" spans="1:9" x14ac:dyDescent="0.25">
      <c r="A99" s="1"/>
      <c r="B99" s="3" t="s">
        <v>226</v>
      </c>
      <c r="C99" s="3"/>
      <c r="D99" s="6" t="s">
        <v>224</v>
      </c>
      <c r="E99" s="6"/>
      <c r="F99" s="6" t="s">
        <v>203</v>
      </c>
      <c r="G99" s="1"/>
      <c r="I99" s="1"/>
    </row>
    <row r="100" spans="1:9" x14ac:dyDescent="0.25">
      <c r="A100" s="1" t="s">
        <v>222</v>
      </c>
      <c r="B100" s="5" t="s">
        <v>221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220</v>
      </c>
      <c r="B101" s="5" t="s">
        <v>219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218</v>
      </c>
      <c r="B102" s="5" t="s">
        <v>217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216</v>
      </c>
      <c r="B103" s="5" t="s">
        <v>215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214</v>
      </c>
      <c r="B104" s="5" t="s">
        <v>213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204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7"/>
      <c r="B106" s="7"/>
      <c r="C106" s="7"/>
      <c r="D106" s="7"/>
      <c r="E106" s="7"/>
      <c r="F106" s="7"/>
      <c r="G106" s="7"/>
      <c r="I106" s="1"/>
    </row>
    <row r="107" spans="1:9" x14ac:dyDescent="0.25">
      <c r="A107" s="1"/>
      <c r="B107" s="3" t="s">
        <v>225</v>
      </c>
      <c r="C107" s="3"/>
      <c r="D107" s="6" t="s">
        <v>224</v>
      </c>
      <c r="E107" s="6"/>
      <c r="F107" s="6" t="s">
        <v>203</v>
      </c>
      <c r="G107" s="1"/>
      <c r="I107" s="1"/>
    </row>
    <row r="108" spans="1:9" x14ac:dyDescent="0.25">
      <c r="A108" s="1" t="s">
        <v>222</v>
      </c>
      <c r="B108" s="5" t="s">
        <v>221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220</v>
      </c>
      <c r="B109" s="5" t="s">
        <v>219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218</v>
      </c>
      <c r="B110" s="5" t="s">
        <v>217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216</v>
      </c>
      <c r="B111" s="5" t="s">
        <v>215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214</v>
      </c>
      <c r="B112" s="5" t="s">
        <v>213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204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:G1"/>
    <mergeCell ref="A2:G2"/>
    <mergeCell ref="A3:G3"/>
    <mergeCell ref="A4:G4"/>
    <mergeCell ref="A98:G98"/>
    <mergeCell ref="A106:G106"/>
  </mergeCells>
  <printOptions gridLines="1"/>
  <pageMargins left="0.7" right="0.7" top="0.7" bottom="0.7" header="0.5" footer="0.5"/>
  <pageSetup fitToHeight="990" orientation="portrait" horizontalDpi="0" verticalDpi="0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21" customWidth="1"/>
    <col min="2" max="2" width="9.140625" style="16"/>
    <col min="3" max="3" width="13.140625" style="16" bestFit="1" customWidth="1"/>
    <col min="4" max="4" width="13.140625" style="17" customWidth="1"/>
    <col min="5" max="15" width="11.7109375" style="18" bestFit="1" customWidth="1"/>
    <col min="16" max="16" width="13.7109375" style="18" bestFit="1" customWidth="1"/>
    <col min="17" max="17" width="13.7109375" style="19" bestFit="1" customWidth="1"/>
    <col min="18" max="18" width="13.7109375" style="20" bestFit="1" customWidth="1"/>
    <col min="19" max="19" width="9.140625" style="18"/>
    <col min="20" max="20" width="65.28515625" style="21" customWidth="1"/>
    <col min="21" max="16384" width="9.140625" style="21"/>
  </cols>
  <sheetData>
    <row r="1" spans="1:20" x14ac:dyDescent="0.25">
      <c r="A1" s="15" t="s">
        <v>240</v>
      </c>
    </row>
    <row r="3" spans="1:20" s="22" customFormat="1" x14ac:dyDescent="0.25">
      <c r="D3" s="23" t="s">
        <v>241</v>
      </c>
      <c r="E3" s="24">
        <v>42370</v>
      </c>
      <c r="F3" s="24">
        <v>42401</v>
      </c>
      <c r="G3" s="24">
        <v>42430</v>
      </c>
      <c r="H3" s="24">
        <v>42461</v>
      </c>
      <c r="I3" s="24">
        <v>42491</v>
      </c>
      <c r="J3" s="24">
        <v>42522</v>
      </c>
      <c r="K3" s="24">
        <v>42552</v>
      </c>
      <c r="L3" s="24">
        <v>42583</v>
      </c>
      <c r="M3" s="24">
        <v>42614</v>
      </c>
      <c r="N3" s="24">
        <v>42644</v>
      </c>
      <c r="O3" s="24">
        <v>42675</v>
      </c>
      <c r="P3" s="24">
        <v>42705</v>
      </c>
      <c r="Q3" s="25" t="s">
        <v>242</v>
      </c>
      <c r="R3" s="26">
        <v>2015</v>
      </c>
      <c r="S3" s="24" t="s">
        <v>0</v>
      </c>
      <c r="T3" s="22" t="s">
        <v>243</v>
      </c>
    </row>
    <row r="4" spans="1:20" s="33" customFormat="1" x14ac:dyDescent="0.25">
      <c r="A4" s="27" t="s">
        <v>244</v>
      </c>
      <c r="B4" s="28" t="s">
        <v>245</v>
      </c>
      <c r="C4" s="28" t="s">
        <v>5</v>
      </c>
      <c r="D4" s="29"/>
      <c r="E4" s="30">
        <f>'[1]Min Rent 2016'!E16</f>
        <v>25525</v>
      </c>
      <c r="F4" s="30">
        <f>'[1]Min Rent 2016'!F16</f>
        <v>25525</v>
      </c>
      <c r="G4" s="30">
        <f>'[1]Min Rent 2016'!G16</f>
        <v>25525</v>
      </c>
      <c r="H4" s="30">
        <f>'[1]Min Rent 2016'!H16</f>
        <v>25525</v>
      </c>
      <c r="I4" s="30">
        <f>'[1]Min Rent 2016'!I16</f>
        <v>26717.258064516129</v>
      </c>
      <c r="J4" s="30">
        <f>'[1]Min Rent 2016'!J16</f>
        <v>28165</v>
      </c>
      <c r="K4" s="30">
        <f>'[1]Min Rent 2016'!K16</f>
        <v>29515</v>
      </c>
      <c r="L4" s="30">
        <f>'[1]Min Rent 2016'!L16</f>
        <v>29515</v>
      </c>
      <c r="M4" s="30">
        <f>'[1]Min Rent 2016'!M16</f>
        <v>30628.75</v>
      </c>
      <c r="N4" s="30">
        <f>'[1]Min Rent 2016'!N16</f>
        <v>31742.5</v>
      </c>
      <c r="O4" s="30">
        <f>'[1]Min Rent 2016'!O16</f>
        <v>33970</v>
      </c>
      <c r="P4" s="30">
        <f>'[1]Min Rent 2016'!P16</f>
        <v>33970</v>
      </c>
      <c r="Q4" s="31">
        <f>SUM(E4:P4)</f>
        <v>346323.50806451612</v>
      </c>
      <c r="R4" s="32"/>
      <c r="S4" s="30"/>
    </row>
    <row r="5" spans="1:20" x14ac:dyDescent="0.25">
      <c r="A5" s="34" t="s">
        <v>246</v>
      </c>
      <c r="B5" s="35" t="s">
        <v>245</v>
      </c>
      <c r="C5" s="35" t="s">
        <v>15</v>
      </c>
      <c r="D5" s="36"/>
      <c r="E5" s="18">
        <f>'[1]CAM 2016'!E16</f>
        <v>2145</v>
      </c>
      <c r="F5" s="18">
        <f>'[1]CAM 2016'!F16</f>
        <v>2145</v>
      </c>
      <c r="G5" s="18">
        <f>'[1]CAM 2016'!G16</f>
        <v>2145</v>
      </c>
      <c r="H5" s="18">
        <f>'[1]CAM 2016'!H16</f>
        <v>2145</v>
      </c>
      <c r="I5" s="18">
        <f>'[1]CAM 2016'!I16</f>
        <v>2300.3548387096776</v>
      </c>
      <c r="J5" s="18">
        <f>'[1]CAM 2016'!J16</f>
        <v>2489</v>
      </c>
      <c r="K5" s="18">
        <f>'[1]CAM 2016'!K16</f>
        <v>2489</v>
      </c>
      <c r="L5" s="18">
        <f>'[1]CAM 2016'!L16</f>
        <v>2489</v>
      </c>
      <c r="M5" s="18">
        <f>'[1]CAM 2016'!M16</f>
        <v>2646</v>
      </c>
      <c r="N5" s="18">
        <f>'[1]CAM 2016'!N16</f>
        <v>2803</v>
      </c>
      <c r="O5" s="18">
        <f>'[1]CAM 2016'!O16</f>
        <v>3117</v>
      </c>
      <c r="P5" s="18">
        <f>'[1]CAM 2016'!P16</f>
        <v>3117</v>
      </c>
      <c r="Q5" s="19">
        <f t="shared" ref="Q5:Q8" si="0">SUM(E5:P5)</f>
        <v>30030.354838709678</v>
      </c>
    </row>
    <row r="6" spans="1:20" s="33" customFormat="1" x14ac:dyDescent="0.25">
      <c r="A6" s="27" t="s">
        <v>247</v>
      </c>
      <c r="B6" s="28" t="s">
        <v>245</v>
      </c>
      <c r="C6" s="28" t="s">
        <v>19</v>
      </c>
      <c r="D6" s="29"/>
      <c r="E6" s="30">
        <f>'[1]RETaxes 2016'!E16</f>
        <v>6007</v>
      </c>
      <c r="F6" s="30">
        <f>'[1]RETaxes 2016'!F16</f>
        <v>6007</v>
      </c>
      <c r="G6" s="30">
        <f>'[1]RETaxes 2016'!G16</f>
        <v>6007</v>
      </c>
      <c r="H6" s="30">
        <f>'[1]RETaxes 2016'!H16</f>
        <v>6007</v>
      </c>
      <c r="I6" s="30">
        <f>'[1]RETaxes 2016'!I16</f>
        <v>6200.7419354838712</v>
      </c>
      <c r="J6" s="30">
        <f>'[1]RETaxes 2016'!J16</f>
        <v>6436</v>
      </c>
      <c r="K6" s="30">
        <f>'[1]RETaxes 2016'!K16</f>
        <v>6436</v>
      </c>
      <c r="L6" s="30">
        <f>'[1]RETaxes 2016'!L16</f>
        <v>6436</v>
      </c>
      <c r="M6" s="30">
        <f>'[1]RETaxes 2016'!M16</f>
        <v>6632</v>
      </c>
      <c r="N6" s="30">
        <f>'[1]RETaxes 2016'!N16</f>
        <v>6828</v>
      </c>
      <c r="O6" s="30">
        <f>'[1]RETaxes 2016'!O16</f>
        <v>7220</v>
      </c>
      <c r="P6" s="30">
        <f>'[1]RETaxes 2016'!P16</f>
        <v>7220</v>
      </c>
      <c r="Q6" s="31">
        <f t="shared" si="0"/>
        <v>77436.741935483878</v>
      </c>
      <c r="R6" s="32"/>
      <c r="S6" s="30"/>
    </row>
    <row r="7" spans="1:20" x14ac:dyDescent="0.25">
      <c r="A7" s="34" t="s">
        <v>248</v>
      </c>
      <c r="B7" s="35" t="s">
        <v>245</v>
      </c>
      <c r="C7" s="35" t="s">
        <v>17</v>
      </c>
      <c r="D7" s="36"/>
      <c r="E7" s="18">
        <f>'[1]Ins 2016'!D16</f>
        <v>390</v>
      </c>
      <c r="F7" s="18">
        <f>'[1]Ins 2016'!E16</f>
        <v>390</v>
      </c>
      <c r="G7" s="18">
        <f>'[1]Ins 2016'!F16</f>
        <v>390</v>
      </c>
      <c r="H7" s="18">
        <f>'[1]Ins 2016'!G16</f>
        <v>390</v>
      </c>
      <c r="I7" s="18">
        <f>'[1]Ins 2016'!H16</f>
        <v>390</v>
      </c>
      <c r="J7" s="18">
        <f>'[1]Ins 2016'!I16</f>
        <v>390</v>
      </c>
      <c r="K7" s="18">
        <f>'[1]Ins 2016'!J16</f>
        <v>390</v>
      </c>
      <c r="L7" s="18">
        <f>'[1]Ins 2016'!K16</f>
        <v>390</v>
      </c>
      <c r="M7" s="18">
        <f>'[1]Ins 2016'!L16</f>
        <v>390</v>
      </c>
      <c r="N7" s="18">
        <f>'[1]Ins 2016'!M16</f>
        <v>390</v>
      </c>
      <c r="O7" s="18">
        <f>'[1]Ins 2016'!N16</f>
        <v>390</v>
      </c>
      <c r="P7" s="18">
        <f>'[1]Ins 2016'!O16</f>
        <v>390</v>
      </c>
      <c r="Q7" s="19">
        <f t="shared" si="0"/>
        <v>4680</v>
      </c>
    </row>
    <row r="8" spans="1:20" s="33" customFormat="1" x14ac:dyDescent="0.25">
      <c r="A8" s="27" t="s">
        <v>249</v>
      </c>
      <c r="B8" s="28" t="s">
        <v>245</v>
      </c>
      <c r="C8" s="28" t="s">
        <v>250</v>
      </c>
      <c r="D8" s="29"/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1">
        <f t="shared" si="0"/>
        <v>0</v>
      </c>
      <c r="R8" s="32"/>
      <c r="S8" s="30"/>
    </row>
    <row r="10" spans="1:20" s="37" customFormat="1" x14ac:dyDescent="0.25">
      <c r="A10" s="37" t="s">
        <v>251</v>
      </c>
      <c r="B10" s="38"/>
      <c r="C10" s="38"/>
      <c r="D10" s="39"/>
      <c r="E10" s="40">
        <f>SUM(E4:E9)</f>
        <v>34067</v>
      </c>
      <c r="F10" s="40">
        <f t="shared" ref="F10:P10" si="1">SUM(F4:F9)</f>
        <v>34067</v>
      </c>
      <c r="G10" s="40">
        <f t="shared" si="1"/>
        <v>34067</v>
      </c>
      <c r="H10" s="40">
        <f t="shared" si="1"/>
        <v>34067</v>
      </c>
      <c r="I10" s="40">
        <f t="shared" si="1"/>
        <v>35608.354838709682</v>
      </c>
      <c r="J10" s="40">
        <f t="shared" si="1"/>
        <v>37480</v>
      </c>
      <c r="K10" s="40">
        <f t="shared" si="1"/>
        <v>38830</v>
      </c>
      <c r="L10" s="40">
        <f t="shared" si="1"/>
        <v>38830</v>
      </c>
      <c r="M10" s="40">
        <f t="shared" si="1"/>
        <v>40296.75</v>
      </c>
      <c r="N10" s="40">
        <f t="shared" si="1"/>
        <v>41763.5</v>
      </c>
      <c r="O10" s="40">
        <f t="shared" si="1"/>
        <v>44697</v>
      </c>
      <c r="P10" s="40">
        <f t="shared" si="1"/>
        <v>44697</v>
      </c>
      <c r="Q10" s="41">
        <f>SUM(E10:P10)</f>
        <v>458470.6048387097</v>
      </c>
      <c r="R10" s="42"/>
      <c r="S10" s="40"/>
    </row>
    <row r="12" spans="1:20" s="48" customFormat="1" x14ac:dyDescent="0.25">
      <c r="A12" s="37" t="s">
        <v>252</v>
      </c>
      <c r="B12" s="43"/>
      <c r="C12" s="43"/>
      <c r="D12" s="44"/>
      <c r="E12" s="45">
        <v>0</v>
      </c>
      <c r="F12" s="45">
        <v>0</v>
      </c>
      <c r="G12" s="45">
        <v>300000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6">
        <f>SUM(E12:P12)</f>
        <v>300000</v>
      </c>
      <c r="R12" s="47"/>
      <c r="S12" s="45"/>
    </row>
    <row r="14" spans="1:20" s="33" customFormat="1" x14ac:dyDescent="0.25">
      <c r="A14" s="49" t="s">
        <v>253</v>
      </c>
      <c r="B14" s="49" t="s">
        <v>254</v>
      </c>
      <c r="C14" s="49" t="s">
        <v>255</v>
      </c>
      <c r="D14" s="5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  <c r="R14" s="32"/>
      <c r="S14" s="30"/>
    </row>
    <row r="15" spans="1:20" x14ac:dyDescent="0.25">
      <c r="A15" s="21" t="s">
        <v>206</v>
      </c>
      <c r="B15" s="16" t="s">
        <v>245</v>
      </c>
      <c r="C15" s="16" t="s">
        <v>234</v>
      </c>
      <c r="D15" s="17">
        <v>0</v>
      </c>
      <c r="E15" s="18">
        <f>$D15</f>
        <v>0</v>
      </c>
      <c r="F15" s="18">
        <f t="shared" ref="F15:G15" si="2">$D15</f>
        <v>0</v>
      </c>
      <c r="G15" s="18">
        <f t="shared" si="2"/>
        <v>0</v>
      </c>
      <c r="H15" s="18">
        <v>597</v>
      </c>
      <c r="I15" s="18">
        <v>597</v>
      </c>
      <c r="J15" s="18">
        <v>597</v>
      </c>
      <c r="K15" s="18">
        <v>597</v>
      </c>
      <c r="L15" s="18">
        <v>597</v>
      </c>
      <c r="M15" s="18">
        <v>597</v>
      </c>
      <c r="N15" s="18">
        <v>597</v>
      </c>
      <c r="O15" s="18">
        <v>550</v>
      </c>
      <c r="P15" s="18">
        <v>550</v>
      </c>
      <c r="Q15" s="19">
        <f>SUM(E15:P15)</f>
        <v>5279</v>
      </c>
      <c r="R15" s="20">
        <f>'[1]Op Budget 2015'!Q13</f>
        <v>588.5</v>
      </c>
    </row>
    <row r="16" spans="1:20" s="33" customFormat="1" x14ac:dyDescent="0.25">
      <c r="A16" s="33" t="s">
        <v>256</v>
      </c>
      <c r="B16" s="51" t="s">
        <v>245</v>
      </c>
      <c r="C16" s="51" t="s">
        <v>45</v>
      </c>
      <c r="D16" s="52">
        <v>300</v>
      </c>
      <c r="E16" s="30">
        <f>$D16*(1+[1]Assumptions!$B$3)</f>
        <v>304.46999999999997</v>
      </c>
      <c r="F16" s="30">
        <f>$D16*(1+[1]Assumptions!$B$3)</f>
        <v>304.46999999999997</v>
      </c>
      <c r="G16" s="30">
        <f>$D16*(1+[1]Assumptions!$B$3)</f>
        <v>304.46999999999997</v>
      </c>
      <c r="H16" s="30">
        <f>$D16*(1+[1]Assumptions!$B$3)</f>
        <v>304.46999999999997</v>
      </c>
      <c r="I16" s="30">
        <f>$D16*(1+[1]Assumptions!$B$3)</f>
        <v>304.46999999999997</v>
      </c>
      <c r="J16" s="30">
        <f>$D16*(1+[1]Assumptions!$B$3)</f>
        <v>304.46999999999997</v>
      </c>
      <c r="K16" s="30">
        <f>$D16*(1+[1]Assumptions!$B$3)</f>
        <v>304.46999999999997</v>
      </c>
      <c r="L16" s="30">
        <f>$D16*(1+[1]Assumptions!$B$3)</f>
        <v>304.46999999999997</v>
      </c>
      <c r="M16" s="30">
        <f>$D16*(1+[1]Assumptions!$B$3)</f>
        <v>304.46999999999997</v>
      </c>
      <c r="N16" s="30">
        <f>$D16*(1+[1]Assumptions!$B$3)</f>
        <v>304.46999999999997</v>
      </c>
      <c r="O16" s="30">
        <f>$D16*(1+[1]Assumptions!$B$3)</f>
        <v>304.46999999999997</v>
      </c>
      <c r="P16" s="30">
        <f>$D16*(1+[1]Assumptions!$B$3)</f>
        <v>304.46999999999997</v>
      </c>
      <c r="Q16" s="31">
        <f t="shared" ref="Q16:Q54" si="3">SUM(E16:P16)</f>
        <v>3653.639999999999</v>
      </c>
      <c r="R16" s="32">
        <f>'[1]Op Budget 2015'!Q14</f>
        <v>995.1</v>
      </c>
      <c r="S16" s="30"/>
    </row>
    <row r="17" spans="1:19" x14ac:dyDescent="0.25">
      <c r="A17" s="21" t="s">
        <v>257</v>
      </c>
      <c r="B17" s="16" t="s">
        <v>245</v>
      </c>
      <c r="C17" s="16" t="s">
        <v>47</v>
      </c>
      <c r="D17" s="17">
        <v>500</v>
      </c>
      <c r="E17" s="18">
        <f>$D17</f>
        <v>500</v>
      </c>
      <c r="F17" s="18">
        <f t="shared" ref="F17:H17" si="4">$D17</f>
        <v>500</v>
      </c>
      <c r="G17" s="18">
        <f t="shared" si="4"/>
        <v>500</v>
      </c>
      <c r="H17" s="18">
        <f t="shared" si="4"/>
        <v>500</v>
      </c>
      <c r="I17" s="18">
        <v>203</v>
      </c>
      <c r="J17" s="18">
        <v>203</v>
      </c>
      <c r="K17" s="18">
        <v>203</v>
      </c>
      <c r="L17" s="18">
        <v>203</v>
      </c>
      <c r="M17" s="18">
        <v>203</v>
      </c>
      <c r="N17" s="18">
        <v>203</v>
      </c>
      <c r="O17" s="18">
        <v>203</v>
      </c>
      <c r="P17" s="18">
        <v>203</v>
      </c>
      <c r="Q17" s="19">
        <f t="shared" si="3"/>
        <v>3624</v>
      </c>
      <c r="R17" s="20">
        <f>'[1]Op Budget 2015'!Q15</f>
        <v>3610.5</v>
      </c>
    </row>
    <row r="18" spans="1:19" s="33" customFormat="1" x14ac:dyDescent="0.25">
      <c r="A18" s="33" t="s">
        <v>258</v>
      </c>
      <c r="B18" s="51" t="s">
        <v>245</v>
      </c>
      <c r="C18" s="51" t="s">
        <v>259</v>
      </c>
      <c r="D18" s="52">
        <v>0</v>
      </c>
      <c r="E18" s="30">
        <f>$D18*(1+[1]Assumptions!$B$3)</f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1">
        <f t="shared" si="3"/>
        <v>0</v>
      </c>
      <c r="R18" s="32">
        <f>'[1]Op Budget 2015'!Q16</f>
        <v>0</v>
      </c>
      <c r="S18" s="30"/>
    </row>
    <row r="19" spans="1:19" x14ac:dyDescent="0.25">
      <c r="A19" s="21" t="s">
        <v>260</v>
      </c>
      <c r="B19" s="16" t="s">
        <v>245</v>
      </c>
      <c r="C19" s="16" t="s">
        <v>261</v>
      </c>
      <c r="D19" s="17">
        <v>0</v>
      </c>
      <c r="E19" s="18">
        <f>$D19*(1+[1]Assumptions!$B$3)</f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9">
        <f t="shared" si="3"/>
        <v>0</v>
      </c>
      <c r="R19" s="20">
        <f>'[1]Op Budget 2015'!Q17</f>
        <v>0</v>
      </c>
    </row>
    <row r="20" spans="1:19" s="33" customFormat="1" x14ac:dyDescent="0.25">
      <c r="A20" s="33" t="s">
        <v>262</v>
      </c>
      <c r="B20" s="51" t="s">
        <v>245</v>
      </c>
      <c r="C20" s="51" t="s">
        <v>263</v>
      </c>
      <c r="D20" s="52">
        <v>457</v>
      </c>
      <c r="E20" s="30">
        <f>$D20*(1+[1]Assumptions!$B$3)</f>
        <v>463.80929999999995</v>
      </c>
      <c r="F20" s="30">
        <f>$D20*(1+[1]Assumptions!$B$3)</f>
        <v>463.80929999999995</v>
      </c>
      <c r="G20" s="30">
        <f>$D20*(1+[1]Assumptions!$B$3)</f>
        <v>463.80929999999995</v>
      </c>
      <c r="H20" s="30">
        <f>$D20*(1+[1]Assumptions!$B$3)</f>
        <v>463.80929999999995</v>
      </c>
      <c r="I20" s="30">
        <f>$D20*(1+[1]Assumptions!$B$3)</f>
        <v>463.80929999999995</v>
      </c>
      <c r="J20" s="30">
        <f>$D20*(1+[1]Assumptions!$B$3)</f>
        <v>463.80929999999995</v>
      </c>
      <c r="K20" s="30">
        <f>$D20*(1+[1]Assumptions!$B$3)</f>
        <v>463.80929999999995</v>
      </c>
      <c r="L20" s="30">
        <f>$D20*(1+[1]Assumptions!$B$3)</f>
        <v>463.80929999999995</v>
      </c>
      <c r="M20" s="30">
        <f>$D20*(1+[1]Assumptions!$B$3)</f>
        <v>463.80929999999995</v>
      </c>
      <c r="N20" s="30">
        <f>$D20*(1+[1]Assumptions!$B$3)</f>
        <v>463.80929999999995</v>
      </c>
      <c r="O20" s="30">
        <f>$D20*(1+[1]Assumptions!$B$3)</f>
        <v>463.80929999999995</v>
      </c>
      <c r="P20" s="30">
        <f>$D20*(1+[1]Assumptions!$B$3)</f>
        <v>463.80929999999995</v>
      </c>
      <c r="Q20" s="31">
        <f t="shared" si="3"/>
        <v>5565.7115999999996</v>
      </c>
      <c r="R20" s="32">
        <f>'[1]Op Budget 2015'!Q18</f>
        <v>0</v>
      </c>
      <c r="S20" s="30"/>
    </row>
    <row r="21" spans="1:19" x14ac:dyDescent="0.25">
      <c r="A21" s="21" t="s">
        <v>264</v>
      </c>
      <c r="B21" s="16" t="s">
        <v>245</v>
      </c>
      <c r="C21" s="16" t="s">
        <v>49</v>
      </c>
      <c r="D21" s="17">
        <v>0</v>
      </c>
      <c r="E21" s="18">
        <v>1070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1000</v>
      </c>
      <c r="P21" s="18">
        <v>1000</v>
      </c>
      <c r="Q21" s="19">
        <f t="shared" si="3"/>
        <v>3070</v>
      </c>
      <c r="R21" s="20">
        <f>'[1]Op Budget 2015'!Q19</f>
        <v>6981.2</v>
      </c>
    </row>
    <row r="22" spans="1:19" s="33" customFormat="1" x14ac:dyDescent="0.25">
      <c r="A22" s="33" t="s">
        <v>265</v>
      </c>
      <c r="B22" s="51" t="s">
        <v>245</v>
      </c>
      <c r="C22" s="51" t="s">
        <v>266</v>
      </c>
      <c r="D22" s="52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1">
        <f t="shared" si="3"/>
        <v>0</v>
      </c>
      <c r="R22" s="32">
        <f>'[1]Op Budget 2015'!Q20</f>
        <v>1500</v>
      </c>
      <c r="S22" s="30"/>
    </row>
    <row r="23" spans="1:19" x14ac:dyDescent="0.25">
      <c r="A23" s="21" t="s">
        <v>267</v>
      </c>
      <c r="B23" s="16" t="s">
        <v>245</v>
      </c>
      <c r="C23" s="16" t="s">
        <v>268</v>
      </c>
      <c r="D23" s="17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9">
        <f t="shared" si="3"/>
        <v>0</v>
      </c>
      <c r="R23" s="20">
        <f>'[1]Op Budget 2015'!Q21</f>
        <v>0</v>
      </c>
    </row>
    <row r="24" spans="1:19" s="33" customFormat="1" x14ac:dyDescent="0.25">
      <c r="A24" s="33" t="s">
        <v>207</v>
      </c>
      <c r="B24" s="51" t="s">
        <v>245</v>
      </c>
      <c r="C24" s="51" t="s">
        <v>232</v>
      </c>
      <c r="D24" s="52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1">
        <f t="shared" si="3"/>
        <v>0</v>
      </c>
      <c r="R24" s="32">
        <f>'[1]Op Budget 2015'!Q22</f>
        <v>0</v>
      </c>
      <c r="S24" s="30"/>
    </row>
    <row r="25" spans="1:19" x14ac:dyDescent="0.25">
      <c r="A25" s="21" t="s">
        <v>269</v>
      </c>
      <c r="B25" s="16" t="s">
        <v>245</v>
      </c>
      <c r="C25" s="16" t="s">
        <v>51</v>
      </c>
      <c r="D25" s="17">
        <v>0</v>
      </c>
      <c r="E25" s="18">
        <v>0</v>
      </c>
      <c r="F25" s="18">
        <v>0</v>
      </c>
      <c r="G25" s="18">
        <v>0</v>
      </c>
      <c r="H25" s="18">
        <v>420</v>
      </c>
      <c r="I25" s="18">
        <v>500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9">
        <f t="shared" si="3"/>
        <v>920</v>
      </c>
      <c r="R25" s="20">
        <f>'[1]Op Budget 2015'!Q23</f>
        <v>1093.5999999999999</v>
      </c>
    </row>
    <row r="26" spans="1:19" s="33" customFormat="1" x14ac:dyDescent="0.25">
      <c r="A26" s="33" t="s">
        <v>208</v>
      </c>
      <c r="B26" s="51" t="s">
        <v>245</v>
      </c>
      <c r="C26" s="51" t="s">
        <v>53</v>
      </c>
      <c r="D26" s="52">
        <v>0</v>
      </c>
      <c r="E26" s="30">
        <v>0</v>
      </c>
      <c r="F26" s="30">
        <v>0</v>
      </c>
      <c r="G26" s="30">
        <v>0</v>
      </c>
      <c r="H26" s="30">
        <v>2600</v>
      </c>
      <c r="I26" s="30">
        <v>4200</v>
      </c>
      <c r="J26" s="30">
        <v>0</v>
      </c>
      <c r="K26" s="30">
        <v>0</v>
      </c>
      <c r="L26" s="30">
        <v>2500</v>
      </c>
      <c r="M26" s="30">
        <v>0</v>
      </c>
      <c r="N26" s="30">
        <v>0</v>
      </c>
      <c r="O26" s="30">
        <v>2500</v>
      </c>
      <c r="P26" s="30">
        <v>0</v>
      </c>
      <c r="Q26" s="31">
        <f t="shared" si="3"/>
        <v>11800</v>
      </c>
      <c r="R26" s="32">
        <f>'[1]Op Budget 2015'!Q24</f>
        <v>17403.190000000002</v>
      </c>
      <c r="S26" s="30"/>
    </row>
    <row r="27" spans="1:19" s="33" customFormat="1" x14ac:dyDescent="0.25">
      <c r="A27" s="33" t="s">
        <v>209</v>
      </c>
      <c r="B27" s="51" t="s">
        <v>245</v>
      </c>
      <c r="C27" s="51" t="s">
        <v>55</v>
      </c>
      <c r="D27" s="52">
        <v>0</v>
      </c>
      <c r="E27" s="30">
        <v>400</v>
      </c>
      <c r="F27" s="30">
        <v>400</v>
      </c>
      <c r="G27" s="30">
        <v>400</v>
      </c>
      <c r="H27" s="30">
        <v>400</v>
      </c>
      <c r="I27" s="30">
        <v>400</v>
      </c>
      <c r="J27" s="30">
        <v>400</v>
      </c>
      <c r="K27" s="30">
        <v>400</v>
      </c>
      <c r="L27" s="30">
        <v>400</v>
      </c>
      <c r="M27" s="30">
        <v>400</v>
      </c>
      <c r="N27" s="30">
        <v>400</v>
      </c>
      <c r="O27" s="30">
        <v>400</v>
      </c>
      <c r="P27" s="30">
        <v>400</v>
      </c>
      <c r="Q27" s="31">
        <f t="shared" si="3"/>
        <v>4800</v>
      </c>
      <c r="R27" s="32">
        <f>'[1]Op Budget 2015'!Q25</f>
        <v>16309.830000000002</v>
      </c>
      <c r="S27" s="30"/>
    </row>
    <row r="28" spans="1:19" s="33" customFormat="1" x14ac:dyDescent="0.25">
      <c r="A28" s="33" t="s">
        <v>210</v>
      </c>
      <c r="B28" s="51" t="s">
        <v>245</v>
      </c>
      <c r="C28" s="51" t="s">
        <v>57</v>
      </c>
      <c r="D28" s="52">
        <v>0</v>
      </c>
      <c r="E28" s="30">
        <v>0</v>
      </c>
      <c r="F28" s="30">
        <f>$D28*(1+[1]Assumptions!$B$3)</f>
        <v>0</v>
      </c>
      <c r="G28" s="30">
        <f>$D28*(1+[1]Assumptions!$B$3)</f>
        <v>0</v>
      </c>
      <c r="H28" s="30">
        <v>0</v>
      </c>
      <c r="I28" s="30">
        <f>$D28*(1+[1]Assumptions!$B$3)</f>
        <v>0</v>
      </c>
      <c r="J28" s="30">
        <f>$D28*(1+[1]Assumptions!$B$3)</f>
        <v>0</v>
      </c>
      <c r="K28" s="30">
        <v>0</v>
      </c>
      <c r="L28" s="30">
        <f>$D28*(1+[1]Assumptions!$B$3)</f>
        <v>0</v>
      </c>
      <c r="M28" s="30">
        <f>$D28*(1+[1]Assumptions!$B$3)</f>
        <v>0</v>
      </c>
      <c r="N28" s="30">
        <v>0</v>
      </c>
      <c r="O28" s="30">
        <f>$D28*(1+[1]Assumptions!$B$3)</f>
        <v>0</v>
      </c>
      <c r="P28" s="30">
        <f>$D28*(1+[1]Assumptions!$B$3)</f>
        <v>0</v>
      </c>
      <c r="Q28" s="31">
        <f t="shared" si="3"/>
        <v>0</v>
      </c>
      <c r="R28" s="32">
        <f>'[1]Op Budget 2015'!Q26</f>
        <v>3830.1099999999997</v>
      </c>
      <c r="S28" s="30"/>
    </row>
    <row r="29" spans="1:19" x14ac:dyDescent="0.25">
      <c r="A29" s="21" t="s">
        <v>270</v>
      </c>
      <c r="B29" s="16" t="s">
        <v>245</v>
      </c>
      <c r="C29" s="16" t="s">
        <v>271</v>
      </c>
      <c r="D29" s="17">
        <v>0</v>
      </c>
      <c r="E29" s="18">
        <f>E10*0.05</f>
        <v>1703.3500000000001</v>
      </c>
      <c r="F29" s="18">
        <f t="shared" ref="F29:P29" si="5">F10*0.05</f>
        <v>1703.3500000000001</v>
      </c>
      <c r="G29" s="18">
        <f t="shared" si="5"/>
        <v>1703.3500000000001</v>
      </c>
      <c r="H29" s="18">
        <f t="shared" si="5"/>
        <v>1703.3500000000001</v>
      </c>
      <c r="I29" s="18">
        <f t="shared" si="5"/>
        <v>1780.4177419354842</v>
      </c>
      <c r="J29" s="18">
        <f t="shared" si="5"/>
        <v>1874</v>
      </c>
      <c r="K29" s="18">
        <f t="shared" si="5"/>
        <v>1941.5</v>
      </c>
      <c r="L29" s="18">
        <f t="shared" si="5"/>
        <v>1941.5</v>
      </c>
      <c r="M29" s="18">
        <f t="shared" si="5"/>
        <v>2014.8375000000001</v>
      </c>
      <c r="N29" s="18">
        <f t="shared" si="5"/>
        <v>2088.1750000000002</v>
      </c>
      <c r="O29" s="18">
        <f t="shared" si="5"/>
        <v>2234.85</v>
      </c>
      <c r="P29" s="18">
        <f t="shared" si="5"/>
        <v>2234.85</v>
      </c>
      <c r="Q29" s="19">
        <f t="shared" si="3"/>
        <v>22923.530241935481</v>
      </c>
      <c r="R29" s="20">
        <f>'[1]Op Budget 2015'!Q27</f>
        <v>0</v>
      </c>
    </row>
    <row r="30" spans="1:19" s="33" customFormat="1" x14ac:dyDescent="0.25">
      <c r="A30" s="33" t="s">
        <v>272</v>
      </c>
      <c r="B30" s="51" t="s">
        <v>245</v>
      </c>
      <c r="C30" s="51" t="s">
        <v>273</v>
      </c>
      <c r="D30" s="52">
        <f>'[1]Op Budget 2015'!Q28/12</f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1">
        <f t="shared" si="3"/>
        <v>0</v>
      </c>
      <c r="R30" s="32">
        <f>'[1]Op Budget 2015'!Q28</f>
        <v>0</v>
      </c>
      <c r="S30" s="30"/>
    </row>
    <row r="31" spans="1:19" x14ac:dyDescent="0.25">
      <c r="A31" s="21" t="s">
        <v>274</v>
      </c>
      <c r="B31" s="16" t="s">
        <v>245</v>
      </c>
      <c r="C31" s="16" t="s">
        <v>63</v>
      </c>
      <c r="D31" s="17">
        <v>200</v>
      </c>
      <c r="E31" s="18">
        <f>$D31*(1+[1]Assumptions!$B$3)</f>
        <v>202.98</v>
      </c>
      <c r="F31" s="18">
        <f>$D31*(1+[1]Assumptions!$B$3)</f>
        <v>202.98</v>
      </c>
      <c r="G31" s="18">
        <f>$D31*(1+[1]Assumptions!$B$3)</f>
        <v>202.98</v>
      </c>
      <c r="H31" s="18">
        <f>$D31*(1+[1]Assumptions!$B$3)</f>
        <v>202.98</v>
      </c>
      <c r="I31" s="18">
        <f>$D31*(1+[1]Assumptions!$B$3)</f>
        <v>202.98</v>
      </c>
      <c r="J31" s="18">
        <f>$D31*(1+[1]Assumptions!$B$3)</f>
        <v>202.98</v>
      </c>
      <c r="K31" s="18">
        <f>$D31*(1+[1]Assumptions!$B$3)</f>
        <v>202.98</v>
      </c>
      <c r="L31" s="18">
        <f>$D31*(1+[1]Assumptions!$B$3)</f>
        <v>202.98</v>
      </c>
      <c r="M31" s="18">
        <f>$D31*(1+[1]Assumptions!$B$3)</f>
        <v>202.98</v>
      </c>
      <c r="N31" s="18">
        <f>$D31*(1+[1]Assumptions!$B$3)</f>
        <v>202.98</v>
      </c>
      <c r="O31" s="18">
        <f>$D31*(1+[1]Assumptions!$B$3)</f>
        <v>202.98</v>
      </c>
      <c r="P31" s="18">
        <f>$D31*(1+[1]Assumptions!$B$3)</f>
        <v>202.98</v>
      </c>
      <c r="Q31" s="19">
        <f t="shared" si="3"/>
        <v>2435.7599999999998</v>
      </c>
      <c r="R31" s="20">
        <f>'[1]Op Budget 2015'!Q29</f>
        <v>16278.9</v>
      </c>
    </row>
    <row r="32" spans="1:19" s="33" customFormat="1" x14ac:dyDescent="0.25">
      <c r="A32" s="33" t="s">
        <v>275</v>
      </c>
      <c r="B32" s="51" t="s">
        <v>245</v>
      </c>
      <c r="C32" s="51" t="s">
        <v>276</v>
      </c>
      <c r="D32" s="52">
        <f>'[1]Op Budget 2015'!Q30/12</f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1">
        <f t="shared" si="3"/>
        <v>0</v>
      </c>
      <c r="R32" s="32">
        <f>'[1]Op Budget 2015'!Q30</f>
        <v>0</v>
      </c>
      <c r="S32" s="30"/>
    </row>
    <row r="33" spans="1:19" x14ac:dyDescent="0.25">
      <c r="A33" s="21" t="s">
        <v>277</v>
      </c>
      <c r="B33" s="16" t="s">
        <v>245</v>
      </c>
      <c r="C33" s="16" t="s">
        <v>278</v>
      </c>
      <c r="D33" s="17">
        <f>'[1]Op Budget 2015'!Q31/12</f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9">
        <f t="shared" si="3"/>
        <v>0</v>
      </c>
      <c r="R33" s="20">
        <f>'[1]Op Budget 2015'!Q31</f>
        <v>0</v>
      </c>
    </row>
    <row r="34" spans="1:19" s="33" customFormat="1" x14ac:dyDescent="0.25">
      <c r="A34" s="33" t="s">
        <v>279</v>
      </c>
      <c r="B34" s="51" t="s">
        <v>245</v>
      </c>
      <c r="C34" s="51" t="s">
        <v>71</v>
      </c>
      <c r="D34" s="52">
        <v>0</v>
      </c>
      <c r="E34" s="30">
        <v>22163.75</v>
      </c>
      <c r="F34" s="30">
        <v>0</v>
      </c>
      <c r="G34" s="30">
        <v>0</v>
      </c>
      <c r="H34" s="30">
        <v>22163.75</v>
      </c>
      <c r="I34" s="30">
        <v>0</v>
      </c>
      <c r="J34" s="30">
        <v>0</v>
      </c>
      <c r="K34" s="30">
        <v>22163.75</v>
      </c>
      <c r="L34" s="30">
        <v>0</v>
      </c>
      <c r="M34" s="30">
        <v>0</v>
      </c>
      <c r="N34" s="30">
        <v>22163.75</v>
      </c>
      <c r="O34" s="30">
        <v>0</v>
      </c>
      <c r="P34" s="30">
        <v>0</v>
      </c>
      <c r="Q34" s="31">
        <f t="shared" si="3"/>
        <v>88655</v>
      </c>
      <c r="R34" s="32">
        <f>'[1]Op Budget 2015'!Q32</f>
        <v>88655</v>
      </c>
      <c r="S34" s="30"/>
    </row>
    <row r="35" spans="1:19" x14ac:dyDescent="0.25">
      <c r="A35" s="21" t="s">
        <v>280</v>
      </c>
      <c r="B35" s="16" t="s">
        <v>245</v>
      </c>
      <c r="C35" s="16" t="s">
        <v>73</v>
      </c>
      <c r="D35" s="17">
        <v>0</v>
      </c>
      <c r="E35" s="18">
        <v>0</v>
      </c>
      <c r="F35" s="18">
        <v>0</v>
      </c>
      <c r="G35" s="18">
        <v>300</v>
      </c>
      <c r="H35" s="18">
        <v>0</v>
      </c>
      <c r="I35" s="18">
        <v>0</v>
      </c>
      <c r="J35" s="18">
        <v>970</v>
      </c>
      <c r="K35" s="18">
        <v>0</v>
      </c>
      <c r="L35" s="18">
        <v>0</v>
      </c>
      <c r="M35" s="18">
        <v>970</v>
      </c>
      <c r="N35" s="18">
        <v>0</v>
      </c>
      <c r="O35" s="18">
        <v>0</v>
      </c>
      <c r="P35" s="18">
        <v>0</v>
      </c>
      <c r="Q35" s="19">
        <f t="shared" si="3"/>
        <v>2240</v>
      </c>
      <c r="R35" s="20">
        <f>'[1]Op Budget 2015'!Q33</f>
        <v>1652</v>
      </c>
    </row>
    <row r="36" spans="1:19" s="33" customFormat="1" x14ac:dyDescent="0.25">
      <c r="A36" s="33" t="s">
        <v>281</v>
      </c>
      <c r="B36" s="51" t="s">
        <v>245</v>
      </c>
      <c r="C36" s="51" t="s">
        <v>75</v>
      </c>
      <c r="D36" s="52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1">
        <f t="shared" si="3"/>
        <v>0</v>
      </c>
      <c r="R36" s="32">
        <f>'[1]Op Budget 2015'!Q34</f>
        <v>5019.4699999999993</v>
      </c>
      <c r="S36" s="30"/>
    </row>
    <row r="37" spans="1:19" x14ac:dyDescent="0.25">
      <c r="A37" s="21" t="s">
        <v>282</v>
      </c>
      <c r="B37" s="16" t="s">
        <v>245</v>
      </c>
      <c r="C37" s="16" t="s">
        <v>283</v>
      </c>
      <c r="D37" s="17">
        <f>'[1]Op Budget 2015'!Q35/12</f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9">
        <f t="shared" si="3"/>
        <v>0</v>
      </c>
      <c r="R37" s="20">
        <f>'[1]Op Budget 2015'!Q35</f>
        <v>0</v>
      </c>
    </row>
    <row r="38" spans="1:19" s="33" customFormat="1" x14ac:dyDescent="0.25">
      <c r="A38" s="33" t="s">
        <v>284</v>
      </c>
      <c r="B38" s="51" t="s">
        <v>245</v>
      </c>
      <c r="C38" s="51" t="s">
        <v>285</v>
      </c>
      <c r="D38" s="52">
        <f>'[1]Op Budget 2015'!Q36/12</f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1">
        <f t="shared" si="3"/>
        <v>0</v>
      </c>
      <c r="R38" s="32">
        <f>'[1]Op Budget 2015'!Q36</f>
        <v>0</v>
      </c>
      <c r="S38" s="30"/>
    </row>
    <row r="39" spans="1:19" x14ac:dyDescent="0.25">
      <c r="A39" s="21" t="s">
        <v>286</v>
      </c>
      <c r="B39" s="16" t="s">
        <v>245</v>
      </c>
      <c r="C39" s="16" t="s">
        <v>287</v>
      </c>
      <c r="D39" s="17">
        <f>'[1]Op Budget 2015'!Q37/12</f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9">
        <f t="shared" si="3"/>
        <v>0</v>
      </c>
      <c r="R39" s="20">
        <f>'[1]Op Budget 2015'!Q37</f>
        <v>0</v>
      </c>
    </row>
    <row r="40" spans="1:19" s="33" customFormat="1" x14ac:dyDescent="0.25">
      <c r="A40" s="33" t="s">
        <v>211</v>
      </c>
      <c r="B40" s="51" t="s">
        <v>245</v>
      </c>
      <c r="C40" s="51" t="s">
        <v>79</v>
      </c>
      <c r="D40" s="52">
        <v>15</v>
      </c>
      <c r="E40" s="30">
        <f>$D40*(1+[1]Assumptions!$B$3)</f>
        <v>15.223499999999998</v>
      </c>
      <c r="F40" s="30">
        <f>$D40*(1+[1]Assumptions!$B$3)</f>
        <v>15.223499999999998</v>
      </c>
      <c r="G40" s="30">
        <f>$D40*(1+[1]Assumptions!$B$3)</f>
        <v>15.223499999999998</v>
      </c>
      <c r="H40" s="30">
        <f>$D40*(1+[1]Assumptions!$B$3)</f>
        <v>15.223499999999998</v>
      </c>
      <c r="I40" s="30">
        <f>$D40*(1+[1]Assumptions!$B$3)</f>
        <v>15.223499999999998</v>
      </c>
      <c r="J40" s="30">
        <f>$D40*(1+[1]Assumptions!$B$3)</f>
        <v>15.223499999999998</v>
      </c>
      <c r="K40" s="30">
        <f>$D40*(1+[1]Assumptions!$B$3)</f>
        <v>15.223499999999998</v>
      </c>
      <c r="L40" s="30">
        <f>$D40*(1+[1]Assumptions!$B$3)</f>
        <v>15.223499999999998</v>
      </c>
      <c r="M40" s="30">
        <f>$D40*(1+[1]Assumptions!$B$3)</f>
        <v>15.223499999999998</v>
      </c>
      <c r="N40" s="30">
        <f>$D40*(1+[1]Assumptions!$B$3)</f>
        <v>15.223499999999998</v>
      </c>
      <c r="O40" s="30">
        <f>$D40*(1+[1]Assumptions!$B$3)</f>
        <v>15.223499999999998</v>
      </c>
      <c r="P40" s="30">
        <f>$D40*(1+[1]Assumptions!$B$3)</f>
        <v>15.223499999999998</v>
      </c>
      <c r="Q40" s="31">
        <f t="shared" si="3"/>
        <v>182.68199999999999</v>
      </c>
      <c r="R40" s="32">
        <f>'[1]Op Budget 2015'!Q38</f>
        <v>0</v>
      </c>
      <c r="S40" s="30"/>
    </row>
    <row r="41" spans="1:19" x14ac:dyDescent="0.25">
      <c r="A41" s="21" t="s">
        <v>288</v>
      </c>
      <c r="B41" s="16" t="s">
        <v>245</v>
      </c>
      <c r="C41" s="16" t="s">
        <v>289</v>
      </c>
      <c r="D41" s="17">
        <f>'[1]Op Budget 2015'!Q39/12</f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9">
        <f t="shared" si="3"/>
        <v>0</v>
      </c>
      <c r="R41" s="20">
        <f>'[1]Op Budget 2015'!Q39</f>
        <v>0</v>
      </c>
    </row>
    <row r="42" spans="1:19" s="33" customFormat="1" x14ac:dyDescent="0.25">
      <c r="A42" s="33" t="s">
        <v>212</v>
      </c>
      <c r="B42" s="51" t="s">
        <v>245</v>
      </c>
      <c r="C42" s="51" t="s">
        <v>85</v>
      </c>
      <c r="D42" s="52">
        <f>'[1]Op Budget 2015'!Q40/12</f>
        <v>913.61083333333329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1">
        <f t="shared" si="3"/>
        <v>0</v>
      </c>
      <c r="R42" s="32">
        <f>'[1]Op Budget 2015'!Q40</f>
        <v>10963.33</v>
      </c>
      <c r="S42" s="30"/>
    </row>
    <row r="43" spans="1:19" x14ac:dyDescent="0.25">
      <c r="A43" s="21" t="s">
        <v>290</v>
      </c>
      <c r="B43" s="16" t="s">
        <v>245</v>
      </c>
      <c r="C43" s="16" t="s">
        <v>87</v>
      </c>
      <c r="D43" s="17">
        <v>0</v>
      </c>
      <c r="E43" s="18">
        <v>2000</v>
      </c>
      <c r="F43" s="18">
        <v>200</v>
      </c>
      <c r="G43" s="18">
        <v>2000</v>
      </c>
      <c r="H43" s="18">
        <v>750</v>
      </c>
      <c r="I43" s="18">
        <v>750</v>
      </c>
      <c r="J43" s="18">
        <v>350</v>
      </c>
      <c r="K43" s="18">
        <v>350</v>
      </c>
      <c r="L43" s="18">
        <v>350</v>
      </c>
      <c r="M43" s="18">
        <v>350</v>
      </c>
      <c r="N43" s="18">
        <v>350</v>
      </c>
      <c r="O43" s="18">
        <v>350</v>
      </c>
      <c r="P43" s="18">
        <v>350</v>
      </c>
      <c r="Q43" s="19">
        <f t="shared" si="3"/>
        <v>8150</v>
      </c>
      <c r="R43" s="20">
        <f>'[1]Op Budget 2015'!Q41</f>
        <v>16965.75</v>
      </c>
    </row>
    <row r="44" spans="1:19" s="33" customFormat="1" x14ac:dyDescent="0.25">
      <c r="A44" s="33" t="s">
        <v>291</v>
      </c>
      <c r="B44" s="51" t="s">
        <v>245</v>
      </c>
      <c r="C44" s="51" t="s">
        <v>89</v>
      </c>
      <c r="D44" s="52">
        <v>300</v>
      </c>
      <c r="E44" s="30">
        <f>$D44</f>
        <v>300</v>
      </c>
      <c r="F44" s="30">
        <f t="shared" ref="F44:P44" si="6">$D44</f>
        <v>300</v>
      </c>
      <c r="G44" s="30">
        <f t="shared" si="6"/>
        <v>300</v>
      </c>
      <c r="H44" s="30">
        <f t="shared" si="6"/>
        <v>300</v>
      </c>
      <c r="I44" s="30">
        <f t="shared" si="6"/>
        <v>300</v>
      </c>
      <c r="J44" s="30">
        <f t="shared" si="6"/>
        <v>300</v>
      </c>
      <c r="K44" s="30">
        <f t="shared" si="6"/>
        <v>300</v>
      </c>
      <c r="L44" s="30">
        <f t="shared" si="6"/>
        <v>300</v>
      </c>
      <c r="M44" s="30">
        <f t="shared" si="6"/>
        <v>300</v>
      </c>
      <c r="N44" s="30">
        <f t="shared" si="6"/>
        <v>300</v>
      </c>
      <c r="O44" s="30">
        <f t="shared" si="6"/>
        <v>300</v>
      </c>
      <c r="P44" s="30">
        <f t="shared" si="6"/>
        <v>300</v>
      </c>
      <c r="Q44" s="31">
        <f t="shared" si="3"/>
        <v>3600</v>
      </c>
      <c r="R44" s="32">
        <f>'[1]Op Budget 2015'!Q42</f>
        <v>12170</v>
      </c>
      <c r="S44" s="30"/>
    </row>
    <row r="45" spans="1:19" x14ac:dyDescent="0.25">
      <c r="A45" s="21" t="s">
        <v>292</v>
      </c>
      <c r="B45" s="16" t="s">
        <v>245</v>
      </c>
      <c r="C45" s="16" t="s">
        <v>91</v>
      </c>
      <c r="D45" s="17">
        <f>'[1]Op Budget 2015'!Q43/12</f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9">
        <f t="shared" si="3"/>
        <v>0</v>
      </c>
      <c r="R45" s="20">
        <f>'[1]Op Budget 2015'!Q43</f>
        <v>0</v>
      </c>
    </row>
    <row r="46" spans="1:19" s="33" customFormat="1" x14ac:dyDescent="0.25">
      <c r="A46" s="33" t="s">
        <v>293</v>
      </c>
      <c r="B46" s="51" t="s">
        <v>245</v>
      </c>
      <c r="C46" s="51" t="s">
        <v>294</v>
      </c>
      <c r="D46" s="52">
        <f>'[1]Op Budget 2015'!Q44/12</f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1">
        <f t="shared" si="3"/>
        <v>0</v>
      </c>
      <c r="R46" s="32">
        <f>'[1]Op Budget 2015'!Q44</f>
        <v>0</v>
      </c>
      <c r="S46" s="30"/>
    </row>
    <row r="47" spans="1:19" x14ac:dyDescent="0.25">
      <c r="A47" s="21" t="s">
        <v>295</v>
      </c>
      <c r="B47" s="16" t="s">
        <v>245</v>
      </c>
      <c r="C47" s="16" t="s">
        <v>296</v>
      </c>
      <c r="D47" s="17">
        <v>100</v>
      </c>
      <c r="E47" s="18">
        <f>$D47*(1+[1]Assumptions!$B$3)</f>
        <v>101.49</v>
      </c>
      <c r="F47" s="18">
        <f>$D47*(1+[1]Assumptions!$B$3)</f>
        <v>101.49</v>
      </c>
      <c r="G47" s="18">
        <f>$D47*(1+[1]Assumptions!$B$3)</f>
        <v>101.49</v>
      </c>
      <c r="H47" s="18">
        <f>$D47*(1+[1]Assumptions!$B$3)</f>
        <v>101.49</v>
      </c>
      <c r="I47" s="18">
        <f>$D47*(1+[1]Assumptions!$B$3)</f>
        <v>101.49</v>
      </c>
      <c r="J47" s="18">
        <f>$D47*(1+[1]Assumptions!$B$3)</f>
        <v>101.49</v>
      </c>
      <c r="K47" s="18">
        <f>$D47*(1+[1]Assumptions!$B$3)</f>
        <v>101.49</v>
      </c>
      <c r="L47" s="18">
        <f>$D47*(1+[1]Assumptions!$B$3)</f>
        <v>101.49</v>
      </c>
      <c r="M47" s="18">
        <f>$D47*(1+[1]Assumptions!$B$3)</f>
        <v>101.49</v>
      </c>
      <c r="N47" s="18">
        <f>$D47*(1+[1]Assumptions!$B$3)</f>
        <v>101.49</v>
      </c>
      <c r="O47" s="18">
        <f>$D47*(1+[1]Assumptions!$B$3)</f>
        <v>101.49</v>
      </c>
      <c r="P47" s="18">
        <f>$D47*(1+[1]Assumptions!$B$3)</f>
        <v>101.49</v>
      </c>
      <c r="Q47" s="19">
        <f t="shared" si="3"/>
        <v>1217.8799999999999</v>
      </c>
      <c r="R47" s="20">
        <f>'[1]Op Budget 2015'!Q45</f>
        <v>1058.8900000000001</v>
      </c>
    </row>
    <row r="48" spans="1:19" s="33" customFormat="1" x14ac:dyDescent="0.25">
      <c r="A48" s="33" t="s">
        <v>297</v>
      </c>
      <c r="B48" s="51" t="s">
        <v>245</v>
      </c>
      <c r="C48" s="51" t="s">
        <v>97</v>
      </c>
      <c r="D48" s="52">
        <f>'[1]Op Budget 2015'!Q46/12</f>
        <v>16.2225</v>
      </c>
      <c r="E48" s="30">
        <v>0</v>
      </c>
      <c r="F48" s="30">
        <v>0</v>
      </c>
      <c r="G48" s="30">
        <v>103</v>
      </c>
      <c r="H48" s="30">
        <v>20</v>
      </c>
      <c r="I48" s="30">
        <v>0</v>
      </c>
      <c r="J48" s="30">
        <v>0</v>
      </c>
      <c r="K48" s="30">
        <v>117</v>
      </c>
      <c r="L48" s="30">
        <v>78</v>
      </c>
      <c r="M48" s="30">
        <v>0</v>
      </c>
      <c r="N48" s="30">
        <v>0</v>
      </c>
      <c r="O48" s="30">
        <v>0</v>
      </c>
      <c r="P48" s="30">
        <v>0</v>
      </c>
      <c r="Q48" s="31">
        <f t="shared" si="3"/>
        <v>318</v>
      </c>
      <c r="R48" s="32">
        <f>'[1]Op Budget 2015'!Q46</f>
        <v>194.67000000000002</v>
      </c>
      <c r="S48" s="30"/>
    </row>
    <row r="49" spans="1:19" x14ac:dyDescent="0.25">
      <c r="A49" s="21" t="s">
        <v>298</v>
      </c>
      <c r="B49" s="16" t="s">
        <v>245</v>
      </c>
      <c r="C49" s="16" t="s">
        <v>99</v>
      </c>
      <c r="D49" s="17">
        <v>80</v>
      </c>
      <c r="E49" s="18">
        <f>$D49*(1+[1]Assumptions!$B$3)</f>
        <v>81.191999999999993</v>
      </c>
      <c r="F49" s="18">
        <f>$D49*(1+[1]Assumptions!$B$3)</f>
        <v>81.191999999999993</v>
      </c>
      <c r="G49" s="18">
        <f>$D49*(1+[1]Assumptions!$B$3)</f>
        <v>81.191999999999993</v>
      </c>
      <c r="H49" s="18">
        <f>$D49*(1+[1]Assumptions!$B$3)</f>
        <v>81.191999999999993</v>
      </c>
      <c r="I49" s="18">
        <f>$D49*(1+[1]Assumptions!$B$3)</f>
        <v>81.191999999999993</v>
      </c>
      <c r="J49" s="18">
        <f>$D49*(1+[1]Assumptions!$B$3)</f>
        <v>81.191999999999993</v>
      </c>
      <c r="K49" s="18">
        <f>$D49*(1+[1]Assumptions!$B$3)</f>
        <v>81.191999999999993</v>
      </c>
      <c r="L49" s="18">
        <f>$D49*(1+[1]Assumptions!$B$3)</f>
        <v>81.191999999999993</v>
      </c>
      <c r="M49" s="18">
        <f>$D49*(1+[1]Assumptions!$B$3)</f>
        <v>81.191999999999993</v>
      </c>
      <c r="N49" s="18">
        <f>$D49*(1+[1]Assumptions!$B$3)</f>
        <v>81.191999999999993</v>
      </c>
      <c r="O49" s="18">
        <f>$D49*(1+[1]Assumptions!$B$3)</f>
        <v>81.191999999999993</v>
      </c>
      <c r="P49" s="18">
        <f>$D49*(1+[1]Assumptions!$B$3)</f>
        <v>81.191999999999993</v>
      </c>
      <c r="Q49" s="19">
        <f t="shared" si="3"/>
        <v>974.30399999999997</v>
      </c>
      <c r="R49" s="20">
        <f>'[1]Op Budget 2015'!Q47</f>
        <v>681.67000000000007</v>
      </c>
    </row>
    <row r="50" spans="1:19" s="33" customFormat="1" x14ac:dyDescent="0.25">
      <c r="A50" s="33" t="s">
        <v>299</v>
      </c>
      <c r="B50" s="51" t="s">
        <v>245</v>
      </c>
      <c r="C50" s="51" t="s">
        <v>300</v>
      </c>
      <c r="D50" s="52">
        <f>'[1]Op Budget 2015'!Q48/12</f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3500</v>
      </c>
      <c r="Q50" s="31">
        <f t="shared" si="3"/>
        <v>3500</v>
      </c>
      <c r="R50" s="32">
        <f>'[1]Op Budget 2015'!Q48</f>
        <v>0</v>
      </c>
      <c r="S50" s="30"/>
    </row>
    <row r="51" spans="1:19" x14ac:dyDescent="0.25">
      <c r="A51" s="21" t="s">
        <v>301</v>
      </c>
      <c r="B51" s="16" t="s">
        <v>245</v>
      </c>
      <c r="C51" s="16" t="s">
        <v>101</v>
      </c>
      <c r="D51" s="17">
        <v>50</v>
      </c>
      <c r="E51" s="18">
        <f>$D51</f>
        <v>50</v>
      </c>
      <c r="F51" s="18">
        <f t="shared" ref="F51:P51" si="7">$D51</f>
        <v>50</v>
      </c>
      <c r="G51" s="18">
        <f t="shared" si="7"/>
        <v>50</v>
      </c>
      <c r="H51" s="18">
        <f t="shared" si="7"/>
        <v>50</v>
      </c>
      <c r="I51" s="18">
        <f t="shared" si="7"/>
        <v>50</v>
      </c>
      <c r="J51" s="18">
        <f t="shared" si="7"/>
        <v>50</v>
      </c>
      <c r="K51" s="18">
        <f t="shared" si="7"/>
        <v>50</v>
      </c>
      <c r="L51" s="18">
        <f t="shared" si="7"/>
        <v>50</v>
      </c>
      <c r="M51" s="18">
        <f t="shared" si="7"/>
        <v>50</v>
      </c>
      <c r="N51" s="18">
        <f t="shared" si="7"/>
        <v>50</v>
      </c>
      <c r="O51" s="18">
        <f t="shared" si="7"/>
        <v>50</v>
      </c>
      <c r="P51" s="18">
        <f t="shared" si="7"/>
        <v>50</v>
      </c>
      <c r="Q51" s="19">
        <f t="shared" si="3"/>
        <v>600</v>
      </c>
      <c r="R51" s="20">
        <f>'[1]Op Budget 2015'!Q49</f>
        <v>251</v>
      </c>
    </row>
    <row r="52" spans="1:19" s="33" customFormat="1" x14ac:dyDescent="0.25">
      <c r="A52" s="33" t="s">
        <v>302</v>
      </c>
      <c r="B52" s="51" t="s">
        <v>245</v>
      </c>
      <c r="C52" s="51" t="s">
        <v>303</v>
      </c>
      <c r="D52" s="52">
        <f>'[1]Op Budget 2015'!Q50/12</f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1">
        <f t="shared" si="3"/>
        <v>0</v>
      </c>
      <c r="R52" s="32">
        <f>'[1]Op Budget 2015'!Q50</f>
        <v>0</v>
      </c>
      <c r="S52" s="30"/>
    </row>
    <row r="53" spans="1:19" x14ac:dyDescent="0.25">
      <c r="A53" s="21" t="s">
        <v>304</v>
      </c>
      <c r="B53" s="16" t="s">
        <v>245</v>
      </c>
      <c r="C53" s="16" t="s">
        <v>103</v>
      </c>
      <c r="D53" s="17">
        <v>15</v>
      </c>
      <c r="E53" s="18">
        <f>$D53</f>
        <v>15</v>
      </c>
      <c r="F53" s="18">
        <f t="shared" ref="F53:P53" si="8">$D53</f>
        <v>15</v>
      </c>
      <c r="G53" s="18">
        <f t="shared" si="8"/>
        <v>15</v>
      </c>
      <c r="H53" s="18">
        <f t="shared" si="8"/>
        <v>15</v>
      </c>
      <c r="I53" s="18">
        <f t="shared" si="8"/>
        <v>15</v>
      </c>
      <c r="J53" s="18">
        <f t="shared" si="8"/>
        <v>15</v>
      </c>
      <c r="K53" s="18">
        <f t="shared" si="8"/>
        <v>15</v>
      </c>
      <c r="L53" s="18">
        <f t="shared" si="8"/>
        <v>15</v>
      </c>
      <c r="M53" s="18">
        <f t="shared" si="8"/>
        <v>15</v>
      </c>
      <c r="N53" s="18">
        <f t="shared" si="8"/>
        <v>15</v>
      </c>
      <c r="O53" s="18">
        <f t="shared" si="8"/>
        <v>15</v>
      </c>
      <c r="P53" s="18">
        <f t="shared" si="8"/>
        <v>15</v>
      </c>
      <c r="Q53" s="19">
        <f t="shared" si="3"/>
        <v>180</v>
      </c>
      <c r="R53" s="20">
        <f>'[1]Op Budget 2015'!Q51</f>
        <v>98.06</v>
      </c>
    </row>
    <row r="54" spans="1:19" s="33" customFormat="1" x14ac:dyDescent="0.25">
      <c r="A54" s="33" t="s">
        <v>305</v>
      </c>
      <c r="B54" s="51" t="s">
        <v>245</v>
      </c>
      <c r="C54" s="51"/>
      <c r="D54" s="52">
        <f>'[1]Op Budget 2015'!Q52/12</f>
        <v>10.145000000000001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1">
        <f t="shared" si="3"/>
        <v>0</v>
      </c>
      <c r="R54" s="32">
        <f>'[1]Op Budget 2015'!Q52</f>
        <v>121.74000000000001</v>
      </c>
      <c r="S54" s="30"/>
    </row>
    <row r="56" spans="1:19" s="37" customFormat="1" x14ac:dyDescent="0.25">
      <c r="A56" s="37" t="s">
        <v>306</v>
      </c>
      <c r="B56" s="38"/>
      <c r="C56" s="38"/>
      <c r="D56" s="39"/>
      <c r="E56" s="53">
        <f t="shared" ref="E56:P56" si="9">SUM(E15:E55)</f>
        <v>29371.264800000001</v>
      </c>
      <c r="F56" s="53">
        <f t="shared" si="9"/>
        <v>4337.5147999999999</v>
      </c>
      <c r="G56" s="53">
        <f t="shared" si="9"/>
        <v>6540.5147999999999</v>
      </c>
      <c r="H56" s="53">
        <f t="shared" si="9"/>
        <v>30688.264800000001</v>
      </c>
      <c r="I56" s="53">
        <f t="shared" si="9"/>
        <v>9964.5825419354824</v>
      </c>
      <c r="J56" s="53">
        <f t="shared" si="9"/>
        <v>5928.1647999999996</v>
      </c>
      <c r="K56" s="53">
        <f t="shared" si="9"/>
        <v>27306.414799999999</v>
      </c>
      <c r="L56" s="53">
        <f t="shared" si="9"/>
        <v>7603.6647999999996</v>
      </c>
      <c r="M56" s="53">
        <f t="shared" si="9"/>
        <v>6069.0022999999992</v>
      </c>
      <c r="N56" s="53">
        <f t="shared" si="9"/>
        <v>27336.089800000002</v>
      </c>
      <c r="O56" s="53">
        <f t="shared" si="9"/>
        <v>8772.014799999999</v>
      </c>
      <c r="P56" s="53">
        <f t="shared" si="9"/>
        <v>9772.0148000000008</v>
      </c>
      <c r="Q56" s="41">
        <f>SUM(E56:P56)</f>
        <v>173689.5078419355</v>
      </c>
      <c r="R56" s="42">
        <f>SUM(R15:R55)</f>
        <v>206422.51</v>
      </c>
      <c r="S56" s="40"/>
    </row>
    <row r="58" spans="1:19" s="48" customFormat="1" x14ac:dyDescent="0.25">
      <c r="A58" s="48" t="s">
        <v>307</v>
      </c>
      <c r="B58" s="43"/>
      <c r="C58" s="43"/>
      <c r="D58" s="44"/>
      <c r="E58" s="45">
        <f>SUM(E15:E29)</f>
        <v>4441.6293000000005</v>
      </c>
      <c r="F58" s="45">
        <f t="shared" ref="F58:P58" si="10">SUM(F15:F29)</f>
        <v>3371.6293000000001</v>
      </c>
      <c r="G58" s="45">
        <f t="shared" si="10"/>
        <v>3371.6293000000001</v>
      </c>
      <c r="H58" s="45">
        <f t="shared" si="10"/>
        <v>6988.6293000000005</v>
      </c>
      <c r="I58" s="45">
        <f t="shared" si="10"/>
        <v>8448.6970419354839</v>
      </c>
      <c r="J58" s="45">
        <f t="shared" si="10"/>
        <v>3842.2793000000001</v>
      </c>
      <c r="K58" s="45">
        <f t="shared" si="10"/>
        <v>3909.7793000000001</v>
      </c>
      <c r="L58" s="45">
        <f t="shared" si="10"/>
        <v>6409.7793000000001</v>
      </c>
      <c r="M58" s="45">
        <f t="shared" si="10"/>
        <v>3983.1167999999998</v>
      </c>
      <c r="N58" s="45">
        <f t="shared" si="10"/>
        <v>4056.4543000000003</v>
      </c>
      <c r="O58" s="45">
        <f t="shared" si="10"/>
        <v>7656.1293000000005</v>
      </c>
      <c r="P58" s="45">
        <f t="shared" si="10"/>
        <v>5156.1293000000005</v>
      </c>
      <c r="Q58" s="46">
        <f>SUM(E58:P58)</f>
        <v>61635.881841935494</v>
      </c>
      <c r="R58" s="47">
        <f>'[1]Op Budget 2015'!Q56</f>
        <v>52312.03</v>
      </c>
      <c r="S58" s="45"/>
    </row>
    <row r="60" spans="1:19" s="48" customFormat="1" x14ac:dyDescent="0.25">
      <c r="A60" s="48" t="s">
        <v>308</v>
      </c>
      <c r="B60" s="43"/>
      <c r="C60" s="43"/>
      <c r="D60" s="44"/>
      <c r="E60" s="45">
        <f>('[1]Min Rent 2015'!$C$15*0.5)/12</f>
        <v>912.375</v>
      </c>
      <c r="F60" s="45">
        <f>('[1]Min Rent 2015'!$C$15*0.5)/12</f>
        <v>912.375</v>
      </c>
      <c r="G60" s="45">
        <f>('[1]Min Rent 2015'!$C$15*0.5)/12</f>
        <v>912.375</v>
      </c>
      <c r="H60" s="45">
        <f>('[1]Min Rent 2015'!$C$15*0.5)/12</f>
        <v>912.375</v>
      </c>
      <c r="I60" s="45">
        <f>('[1]Min Rent 2015'!$C$15*0.5)/12</f>
        <v>912.375</v>
      </c>
      <c r="J60" s="45">
        <f>('[1]Min Rent 2015'!$C$15*0.5)/12</f>
        <v>912.375</v>
      </c>
      <c r="K60" s="45">
        <f>('[1]Min Rent 2015'!$C$15*0.5)/12</f>
        <v>912.375</v>
      </c>
      <c r="L60" s="45">
        <f>('[1]Min Rent 2015'!$C$15*0.5)/12</f>
        <v>912.375</v>
      </c>
      <c r="M60" s="45">
        <f>('[1]Min Rent 2015'!$C$15*0.5)/12</f>
        <v>912.375</v>
      </c>
      <c r="N60" s="45">
        <f>('[1]Min Rent 2015'!$C$15*0.5)/12</f>
        <v>912.375</v>
      </c>
      <c r="O60" s="45">
        <f>('[1]Min Rent 2015'!$C$15*0.5)/12</f>
        <v>912.375</v>
      </c>
      <c r="P60" s="45">
        <f>('[1]Min Rent 2015'!$C$15*0.5)/12</f>
        <v>912.375</v>
      </c>
      <c r="Q60" s="46">
        <f>SUM(E60:P60)</f>
        <v>10948.5</v>
      </c>
      <c r="R60" s="47"/>
      <c r="S60" s="45"/>
    </row>
    <row r="62" spans="1:19" s="37" customFormat="1" x14ac:dyDescent="0.25">
      <c r="A62" s="37" t="s">
        <v>309</v>
      </c>
      <c r="B62" s="38"/>
      <c r="C62" s="38"/>
      <c r="D62" s="39"/>
      <c r="E62" s="40">
        <f>E10-E56-E60</f>
        <v>3783.3601999999992</v>
      </c>
      <c r="F62" s="40">
        <f t="shared" ref="F62:P62" si="11">F10-F56-F60</f>
        <v>28817.110199999999</v>
      </c>
      <c r="G62" s="40">
        <f t="shared" si="11"/>
        <v>26614.110199999999</v>
      </c>
      <c r="H62" s="40">
        <f t="shared" si="11"/>
        <v>2466.3601999999992</v>
      </c>
      <c r="I62" s="40">
        <f t="shared" si="11"/>
        <v>24731.397296774201</v>
      </c>
      <c r="J62" s="40">
        <f t="shared" si="11"/>
        <v>30639.460200000001</v>
      </c>
      <c r="K62" s="40">
        <f t="shared" si="11"/>
        <v>10611.210200000001</v>
      </c>
      <c r="L62" s="40">
        <f t="shared" si="11"/>
        <v>30313.960200000001</v>
      </c>
      <c r="M62" s="40">
        <f t="shared" si="11"/>
        <v>33315.3727</v>
      </c>
      <c r="N62" s="40">
        <f t="shared" si="11"/>
        <v>13515.035199999998</v>
      </c>
      <c r="O62" s="40">
        <f t="shared" si="11"/>
        <v>35012.610200000003</v>
      </c>
      <c r="P62" s="40">
        <f t="shared" si="11"/>
        <v>34012.610199999996</v>
      </c>
      <c r="Q62" s="41">
        <f>SUM(E62:P62)</f>
        <v>273832.5969967742</v>
      </c>
      <c r="R62" s="42"/>
      <c r="S62" s="40"/>
    </row>
    <row r="64" spans="1:19" s="48" customFormat="1" x14ac:dyDescent="0.25">
      <c r="A64" s="48" t="s">
        <v>310</v>
      </c>
      <c r="B64" s="43" t="s">
        <v>245</v>
      </c>
      <c r="C64" s="43" t="s">
        <v>311</v>
      </c>
      <c r="D64" s="44"/>
      <c r="E64" s="45">
        <v>0</v>
      </c>
      <c r="F64" s="45">
        <v>0</v>
      </c>
      <c r="G64" s="45">
        <v>0</v>
      </c>
      <c r="H64" s="45">
        <f>[1]Assumptions!$I3</f>
        <v>5763.2800000000007</v>
      </c>
      <c r="I64" s="45">
        <f>[1]Assumptions!$I4</f>
        <v>5782.49</v>
      </c>
      <c r="J64" s="45">
        <f>[1]Assumptions!$I5</f>
        <v>5801.76</v>
      </c>
      <c r="K64" s="45">
        <f>[1]Assumptions!$I6</f>
        <v>5821.1</v>
      </c>
      <c r="L64" s="45">
        <f>[1]Assumptions!$I7</f>
        <v>5840.51</v>
      </c>
      <c r="M64" s="45">
        <f>[1]Assumptions!$I8</f>
        <v>5859.9700000000012</v>
      </c>
      <c r="N64" s="45">
        <f>[1]Assumptions!$I9</f>
        <v>5879.51</v>
      </c>
      <c r="O64" s="45">
        <f>[1]Assumptions!$I10</f>
        <v>5899.1100000000006</v>
      </c>
      <c r="P64" s="45">
        <f>[1]Assumptions!$I11</f>
        <v>5918.77</v>
      </c>
      <c r="Q64" s="46">
        <f>SUM(E64:P64)</f>
        <v>52566.5</v>
      </c>
      <c r="R64" s="47"/>
      <c r="S64" s="45"/>
    </row>
    <row r="65" spans="1:19" s="48" customFormat="1" x14ac:dyDescent="0.25">
      <c r="A65" s="48" t="s">
        <v>312</v>
      </c>
      <c r="B65" s="43" t="s">
        <v>245</v>
      </c>
      <c r="C65" s="43" t="s">
        <v>119</v>
      </c>
      <c r="D65" s="44"/>
      <c r="E65" s="45">
        <f>[1]Assumptions!$B$11</f>
        <v>13333.333333333334</v>
      </c>
      <c r="F65" s="45">
        <f>[1]Assumptions!$B$11</f>
        <v>13333.333333333334</v>
      </c>
      <c r="G65" s="45">
        <f>[1]Assumptions!$B$11</f>
        <v>13333.333333333334</v>
      </c>
      <c r="H65" s="45">
        <f>[1]Assumptions!$J3</f>
        <v>13333.33</v>
      </c>
      <c r="I65" s="45">
        <f>[1]Assumptions!$J4</f>
        <v>13314.12</v>
      </c>
      <c r="J65" s="45">
        <f>[1]Assumptions!$J5</f>
        <v>13294.85</v>
      </c>
      <c r="K65" s="45">
        <f>[1]Assumptions!$J6</f>
        <v>13275.51</v>
      </c>
      <c r="L65" s="45">
        <f>[1]Assumptions!$J7</f>
        <v>13256.1</v>
      </c>
      <c r="M65" s="45">
        <f>[1]Assumptions!$J8</f>
        <v>13236.64</v>
      </c>
      <c r="N65" s="45">
        <f>[1]Assumptions!$J9</f>
        <v>13217.1</v>
      </c>
      <c r="O65" s="45">
        <f>[1]Assumptions!$J10</f>
        <v>13197.5</v>
      </c>
      <c r="P65" s="45">
        <f>[1]Assumptions!$J11</f>
        <v>13177.84</v>
      </c>
      <c r="Q65" s="46">
        <f>SUM(E65:P65)</f>
        <v>159302.99</v>
      </c>
      <c r="R65" s="47"/>
      <c r="S65" s="45"/>
    </row>
    <row r="67" spans="1:19" s="37" customFormat="1" x14ac:dyDescent="0.25">
      <c r="A67" s="37" t="s">
        <v>313</v>
      </c>
      <c r="B67" s="38"/>
      <c r="C67" s="38"/>
      <c r="D67" s="39"/>
      <c r="E67" s="40">
        <f>E62-(E64+E65)</f>
        <v>-9549.9731333333348</v>
      </c>
      <c r="F67" s="40">
        <f t="shared" ref="F67:P67" si="12">F62-(F64+F65)</f>
        <v>15483.776866666665</v>
      </c>
      <c r="G67" s="40">
        <f t="shared" si="12"/>
        <v>13280.776866666665</v>
      </c>
      <c r="H67" s="40">
        <f t="shared" si="12"/>
        <v>-16630.249800000001</v>
      </c>
      <c r="I67" s="40">
        <f t="shared" si="12"/>
        <v>5634.7872967742005</v>
      </c>
      <c r="J67" s="40">
        <f t="shared" si="12"/>
        <v>11542.850200000001</v>
      </c>
      <c r="K67" s="40">
        <f t="shared" si="12"/>
        <v>-8485.3997999999992</v>
      </c>
      <c r="L67" s="40">
        <f t="shared" si="12"/>
        <v>11217.350200000001</v>
      </c>
      <c r="M67" s="40">
        <f t="shared" si="12"/>
        <v>14218.762699999999</v>
      </c>
      <c r="N67" s="40">
        <f t="shared" si="12"/>
        <v>-5581.5748000000021</v>
      </c>
      <c r="O67" s="40">
        <f t="shared" si="12"/>
        <v>15916.000200000002</v>
      </c>
      <c r="P67" s="40">
        <f t="shared" si="12"/>
        <v>14916.000199999995</v>
      </c>
      <c r="Q67" s="41">
        <f>SUM(E67:P67)</f>
        <v>61963.106996774186</v>
      </c>
      <c r="R67" s="42"/>
      <c r="S67" s="40"/>
    </row>
    <row r="69" spans="1:19" s="48" customFormat="1" x14ac:dyDescent="0.25">
      <c r="A69" s="48" t="s">
        <v>314</v>
      </c>
      <c r="B69" s="43"/>
      <c r="C69" s="43"/>
      <c r="D69" s="44"/>
      <c r="E69" s="45">
        <f>'[1]Broker''s Comm'!K14</f>
        <v>9137</v>
      </c>
      <c r="F69" s="45">
        <f>'[1]Broker''s Comm'!L14</f>
        <v>0</v>
      </c>
      <c r="G69" s="45">
        <f>'[1]Broker''s Comm'!M14</f>
        <v>0</v>
      </c>
      <c r="H69" s="45">
        <f>'[1]Broker''s Comm'!N14</f>
        <v>15419</v>
      </c>
      <c r="I69" s="45">
        <f>'[1]Broker''s Comm'!O14</f>
        <v>4204.8355000000001</v>
      </c>
      <c r="J69" s="45">
        <f>'[1]Broker''s Comm'!P14</f>
        <v>1773.9150025162505</v>
      </c>
      <c r="K69" s="45">
        <f>'[1]Broker''s Comm'!Q14</f>
        <v>15419</v>
      </c>
      <c r="L69" s="45">
        <f>'[1]Broker''s Comm'!R14</f>
        <v>0</v>
      </c>
      <c r="M69" s="45">
        <f>'[1]Broker''s Comm'!S14</f>
        <v>0</v>
      </c>
      <c r="N69" s="45">
        <f>'[1]Broker''s Comm'!T14</f>
        <v>1773.9150025162505</v>
      </c>
      <c r="O69" s="45">
        <f>'[1]Broker''s Comm'!U14</f>
        <v>4204.8355000000001</v>
      </c>
      <c r="P69" s="45">
        <f>'[1]Broker''s Comm'!V14</f>
        <v>3547.830005032501</v>
      </c>
      <c r="Q69" s="46">
        <f>SUM(E69:P69)</f>
        <v>55480.331010065005</v>
      </c>
      <c r="R69" s="47"/>
      <c r="S69" s="45"/>
    </row>
    <row r="71" spans="1:19" s="48" customFormat="1" x14ac:dyDescent="0.25">
      <c r="A71" s="48" t="s">
        <v>315</v>
      </c>
      <c r="B71" s="43" t="s">
        <v>245</v>
      </c>
      <c r="C71" s="43" t="s">
        <v>152</v>
      </c>
      <c r="D71" s="44"/>
      <c r="E71" s="45">
        <v>0</v>
      </c>
      <c r="F71" s="45">
        <v>0</v>
      </c>
      <c r="G71" s="45">
        <v>0</v>
      </c>
      <c r="H71" s="45">
        <v>48000</v>
      </c>
      <c r="I71" s="45">
        <f>[1]Assumptions!P10+[1]Assumptions!P19+[1]Assumptions!P28</f>
        <v>0</v>
      </c>
      <c r="J71" s="45">
        <v>0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6">
        <f>SUM(E71:P71)</f>
        <v>48000</v>
      </c>
      <c r="R71" s="47"/>
      <c r="S71" s="45"/>
    </row>
    <row r="73" spans="1:19" s="48" customFormat="1" x14ac:dyDescent="0.25">
      <c r="A73" s="48" t="s">
        <v>316</v>
      </c>
      <c r="B73" s="43" t="s">
        <v>245</v>
      </c>
      <c r="C73" s="43" t="s">
        <v>317</v>
      </c>
      <c r="D73" s="44"/>
      <c r="E73" s="45">
        <v>0</v>
      </c>
      <c r="F73" s="45">
        <v>0</v>
      </c>
      <c r="G73" s="45">
        <v>0</v>
      </c>
      <c r="H73" s="45">
        <f>[1]Assumptions!P11+[1]Assumptions!P20+[1]Assumptions!P29+[1]Assumptions!P34</f>
        <v>74029</v>
      </c>
      <c r="I73" s="45">
        <f>[1]Assumptions!P12+[1]Assumptions!P21+[1]Assumptions!P30</f>
        <v>39029</v>
      </c>
      <c r="J73" s="45">
        <f>[1]Assumptions!P31</f>
        <v>10681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6">
        <f>SUM(E73:P73)</f>
        <v>123739</v>
      </c>
      <c r="R73" s="47"/>
      <c r="S73" s="45"/>
    </row>
    <row r="75" spans="1:19" s="48" customFormat="1" x14ac:dyDescent="0.25">
      <c r="A75" s="48" t="s">
        <v>318</v>
      </c>
      <c r="B75" s="43"/>
      <c r="C75" s="43"/>
      <c r="D75" s="44"/>
      <c r="E75" s="45">
        <f>[1]Assumptions!$B$5/12</f>
        <v>0</v>
      </c>
      <c r="F75" s="45">
        <f>[1]Assumptions!$B$5/12</f>
        <v>0</v>
      </c>
      <c r="G75" s="45">
        <f>[1]Assumptions!$B$5/12</f>
        <v>0</v>
      </c>
      <c r="H75" s="45">
        <f>[1]Assumptions!$B$5/12</f>
        <v>0</v>
      </c>
      <c r="I75" s="45">
        <f>[1]Assumptions!$B$5/12</f>
        <v>0</v>
      </c>
      <c r="J75" s="45">
        <f>[1]Assumptions!$B$5/12</f>
        <v>0</v>
      </c>
      <c r="K75" s="45">
        <f>[1]Assumptions!$B$5/12</f>
        <v>0</v>
      </c>
      <c r="L75" s="45">
        <f>[1]Assumptions!$B$5/12</f>
        <v>0</v>
      </c>
      <c r="M75" s="45">
        <f>[1]Assumptions!$B$5/12</f>
        <v>0</v>
      </c>
      <c r="N75" s="45">
        <f>[1]Assumptions!$B$5/12</f>
        <v>0</v>
      </c>
      <c r="O75" s="45">
        <f>[1]Assumptions!$B$5/12</f>
        <v>0</v>
      </c>
      <c r="P75" s="45">
        <f>[1]Assumptions!$B$5/12</f>
        <v>0</v>
      </c>
      <c r="Q75" s="46">
        <f>SUM(E75:P75)</f>
        <v>0</v>
      </c>
      <c r="R75" s="47"/>
      <c r="S75" s="45"/>
    </row>
    <row r="76" spans="1:19" s="37" customFormat="1" x14ac:dyDescent="0.25">
      <c r="A76" s="37" t="s">
        <v>319</v>
      </c>
      <c r="B76" s="38"/>
      <c r="C76" s="38"/>
      <c r="D76" s="39"/>
      <c r="E76" s="40">
        <f>E67-(E75+E69+E71+E73)</f>
        <v>-18686.973133333333</v>
      </c>
      <c r="F76" s="40">
        <f t="shared" ref="F76:P76" si="13">F67-(F75+F69+F71+F73)</f>
        <v>15483.776866666665</v>
      </c>
      <c r="G76" s="40">
        <f t="shared" si="13"/>
        <v>13280.776866666665</v>
      </c>
      <c r="H76" s="40">
        <f t="shared" si="13"/>
        <v>-154078.24979999999</v>
      </c>
      <c r="I76" s="40">
        <f t="shared" si="13"/>
        <v>-37599.048203225801</v>
      </c>
      <c r="J76" s="40">
        <f t="shared" si="13"/>
        <v>-912.06480251624998</v>
      </c>
      <c r="K76" s="40">
        <f t="shared" si="13"/>
        <v>-23904.399799999999</v>
      </c>
      <c r="L76" s="40">
        <f t="shared" si="13"/>
        <v>11217.350200000001</v>
      </c>
      <c r="M76" s="40">
        <f t="shared" si="13"/>
        <v>14218.762699999999</v>
      </c>
      <c r="N76" s="40">
        <f t="shared" si="13"/>
        <v>-7355.4898025162529</v>
      </c>
      <c r="O76" s="40">
        <f t="shared" si="13"/>
        <v>11711.164700000001</v>
      </c>
      <c r="P76" s="40">
        <f t="shared" si="13"/>
        <v>11368.170194967493</v>
      </c>
      <c r="Q76" s="41">
        <f>SUM(E76:P76)</f>
        <v>-165256.2240132908</v>
      </c>
      <c r="R76" s="42"/>
      <c r="S76" s="40"/>
    </row>
    <row r="78" spans="1:19" s="48" customFormat="1" x14ac:dyDescent="0.25">
      <c r="A78" s="48" t="s">
        <v>320</v>
      </c>
      <c r="B78" s="43"/>
      <c r="C78" s="43"/>
      <c r="D78" s="44">
        <v>6972.42</v>
      </c>
      <c r="E78" s="45">
        <f>$D78</f>
        <v>6972.42</v>
      </c>
      <c r="F78" s="45">
        <f t="shared" ref="F78:P78" si="14">$D78</f>
        <v>6972.42</v>
      </c>
      <c r="G78" s="45">
        <f t="shared" si="14"/>
        <v>6972.42</v>
      </c>
      <c r="H78" s="45">
        <f t="shared" si="14"/>
        <v>6972.42</v>
      </c>
      <c r="I78" s="45">
        <f t="shared" si="14"/>
        <v>6972.42</v>
      </c>
      <c r="J78" s="45">
        <f t="shared" si="14"/>
        <v>6972.42</v>
      </c>
      <c r="K78" s="45">
        <f t="shared" si="14"/>
        <v>6972.42</v>
      </c>
      <c r="L78" s="45">
        <f t="shared" si="14"/>
        <v>6972.42</v>
      </c>
      <c r="M78" s="45">
        <f t="shared" si="14"/>
        <v>6972.42</v>
      </c>
      <c r="N78" s="45">
        <f t="shared" si="14"/>
        <v>6972.42</v>
      </c>
      <c r="O78" s="45">
        <f t="shared" si="14"/>
        <v>6972.42</v>
      </c>
      <c r="P78" s="45">
        <f t="shared" si="14"/>
        <v>6972.42</v>
      </c>
      <c r="Q78" s="46">
        <f>SUM(E78:P78)</f>
        <v>83669.039999999994</v>
      </c>
      <c r="R78" s="47"/>
      <c r="S78" s="45"/>
    </row>
    <row r="80" spans="1:19" s="37" customFormat="1" x14ac:dyDescent="0.25">
      <c r="A80" s="37" t="s">
        <v>321</v>
      </c>
      <c r="B80" s="38"/>
      <c r="C80" s="38"/>
      <c r="D80" s="39"/>
      <c r="E80" s="40">
        <f>'[1]Op Budget 2015'!P73</f>
        <v>84180.56</v>
      </c>
      <c r="F80" s="40">
        <f>E81</f>
        <v>89347.83</v>
      </c>
      <c r="G80" s="40">
        <f t="shared" ref="G80:P80" si="15">F81</f>
        <v>97998.720000000001</v>
      </c>
      <c r="H80" s="40">
        <f t="shared" si="15"/>
        <v>404307.07686666673</v>
      </c>
      <c r="I80" s="40">
        <f t="shared" si="15"/>
        <v>265420.15706666675</v>
      </c>
      <c r="J80" s="40">
        <f t="shared" si="15"/>
        <v>220848.68886344094</v>
      </c>
      <c r="K80" s="40">
        <f t="shared" si="15"/>
        <v>212964.20406092468</v>
      </c>
      <c r="L80" s="40">
        <f t="shared" si="15"/>
        <v>204251.13426092468</v>
      </c>
      <c r="M80" s="40">
        <f t="shared" si="15"/>
        <v>208496.06446092468</v>
      </c>
      <c r="N80" s="40">
        <f t="shared" si="15"/>
        <v>215742.40716092466</v>
      </c>
      <c r="O80" s="40">
        <f t="shared" si="15"/>
        <v>223578.24735840841</v>
      </c>
      <c r="P80" s="40">
        <f t="shared" si="15"/>
        <v>228316.99205840839</v>
      </c>
      <c r="Q80" s="41"/>
      <c r="R80" s="42"/>
      <c r="S80" s="40"/>
    </row>
    <row r="81" spans="1:19" s="37" customFormat="1" x14ac:dyDescent="0.25">
      <c r="A81" s="37" t="s">
        <v>322</v>
      </c>
      <c r="B81" s="38"/>
      <c r="C81" s="38"/>
      <c r="D81" s="39"/>
      <c r="E81" s="40">
        <v>89347.83</v>
      </c>
      <c r="F81" s="40">
        <v>97998.720000000001</v>
      </c>
      <c r="G81" s="40">
        <f>G12+G76+G80+G34-G78</f>
        <v>404307.07686666673</v>
      </c>
      <c r="H81" s="40">
        <f t="shared" ref="H81:P81" si="16">H76+H80+H34-H78</f>
        <v>265420.15706666675</v>
      </c>
      <c r="I81" s="40">
        <f t="shared" si="16"/>
        <v>220848.68886344094</v>
      </c>
      <c r="J81" s="40">
        <f t="shared" si="16"/>
        <v>212964.20406092468</v>
      </c>
      <c r="K81" s="40">
        <f t="shared" si="16"/>
        <v>204251.13426092468</v>
      </c>
      <c r="L81" s="40">
        <f t="shared" si="16"/>
        <v>208496.06446092468</v>
      </c>
      <c r="M81" s="40">
        <f t="shared" si="16"/>
        <v>215742.40716092466</v>
      </c>
      <c r="N81" s="40">
        <f t="shared" si="16"/>
        <v>223578.24735840841</v>
      </c>
      <c r="O81" s="40">
        <f t="shared" si="16"/>
        <v>228316.99205840839</v>
      </c>
      <c r="P81" s="40">
        <f t="shared" si="16"/>
        <v>232712.74225337588</v>
      </c>
      <c r="Q81" s="41"/>
      <c r="R81" s="42"/>
      <c r="S81" s="40"/>
    </row>
    <row r="83" spans="1:19" ht="15.75" x14ac:dyDescent="0.25">
      <c r="E83" s="54" t="s">
        <v>323</v>
      </c>
      <c r="O83" s="55" t="s">
        <v>324</v>
      </c>
      <c r="P83" s="18">
        <v>90000</v>
      </c>
    </row>
    <row r="84" spans="1:19" x14ac:dyDescent="0.25">
      <c r="P84" s="56"/>
    </row>
    <row r="85" spans="1:19" x14ac:dyDescent="0.25">
      <c r="O85" s="55" t="s">
        <v>325</v>
      </c>
      <c r="P85" s="18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V201"/>
  <sheetViews>
    <sheetView tabSelected="1" zoomScaleNormal="100" zoomScaleSheetLayoutView="85" workbookViewId="0">
      <pane ySplit="5" topLeftCell="A136" activePane="bottomLeft" state="frozen"/>
      <selection pane="bottomLeft" activeCell="G145" sqref="G145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63" customWidth="1"/>
    <col min="4" max="15" width="13.7109375" customWidth="1" outlineLevel="1"/>
    <col min="16" max="16" width="17.140625" customWidth="1"/>
    <col min="17" max="17" width="1.7109375" customWidth="1"/>
    <col min="18" max="19" width="17.140625" customWidth="1"/>
    <col min="21" max="21" width="12.42578125" bestFit="1" customWidth="1"/>
    <col min="22" max="22" width="9.85546875" bestFit="1" customWidth="1"/>
  </cols>
  <sheetData>
    <row r="1" spans="1:19" ht="19.5" x14ac:dyDescent="0.25">
      <c r="A1" s="138" t="s">
        <v>202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19" ht="15.75" x14ac:dyDescent="0.25">
      <c r="A2" s="11" t="s">
        <v>443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s="13" customFormat="1" ht="32.25" thickBot="1" x14ac:dyDescent="0.3">
      <c r="A5" s="12"/>
      <c r="B5" s="12"/>
      <c r="C5" s="58" t="s">
        <v>326</v>
      </c>
      <c r="D5" s="57">
        <v>42370</v>
      </c>
      <c r="E5" s="57">
        <v>42401</v>
      </c>
      <c r="F5" s="57">
        <v>42430</v>
      </c>
      <c r="G5" s="57">
        <v>42461</v>
      </c>
      <c r="H5" s="57">
        <v>42491</v>
      </c>
      <c r="I5" s="57">
        <v>42522</v>
      </c>
      <c r="J5" s="57">
        <v>42552</v>
      </c>
      <c r="K5" s="57">
        <v>42583</v>
      </c>
      <c r="L5" s="57">
        <v>42614</v>
      </c>
      <c r="M5" s="57">
        <v>42644</v>
      </c>
      <c r="N5" s="57">
        <v>42675</v>
      </c>
      <c r="O5" s="57">
        <v>42705</v>
      </c>
      <c r="P5" s="12" t="s">
        <v>236</v>
      </c>
      <c r="Q5" s="12"/>
      <c r="R5" s="12" t="s">
        <v>238</v>
      </c>
      <c r="S5" s="12" t="s">
        <v>239</v>
      </c>
    </row>
    <row r="6" spans="1:19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1</v>
      </c>
      <c r="B7" s="5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3</v>
      </c>
      <c r="B9" s="5" t="s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1" t="s">
        <v>5</v>
      </c>
      <c r="B10" s="5" t="s">
        <v>6</v>
      </c>
      <c r="C10" s="4">
        <f>ROUND(SUM(C11:C18),0)</f>
        <v>346324</v>
      </c>
      <c r="D10" s="2">
        <f>ROUND(SUM(D11:D18),0)</f>
        <v>25525</v>
      </c>
      <c r="E10" s="2">
        <f t="shared" ref="E10:O10" si="0">ROUND(SUM(E11:E18),0)</f>
        <v>25525</v>
      </c>
      <c r="F10" s="2">
        <f t="shared" si="0"/>
        <v>25525</v>
      </c>
      <c r="G10" s="2">
        <f t="shared" si="0"/>
        <v>25525</v>
      </c>
      <c r="H10" s="2">
        <f t="shared" si="0"/>
        <v>26717</v>
      </c>
      <c r="I10" s="2">
        <f t="shared" si="0"/>
        <v>28165</v>
      </c>
      <c r="J10" s="2">
        <f t="shared" si="0"/>
        <v>29515</v>
      </c>
      <c r="K10" s="2">
        <f t="shared" si="0"/>
        <v>29515</v>
      </c>
      <c r="L10" s="2">
        <f t="shared" si="0"/>
        <v>30629</v>
      </c>
      <c r="M10" s="2">
        <f t="shared" si="0"/>
        <v>31743</v>
      </c>
      <c r="N10" s="2">
        <f t="shared" si="0"/>
        <v>33970</v>
      </c>
      <c r="O10" s="2">
        <f t="shared" si="0"/>
        <v>33970</v>
      </c>
      <c r="P10" s="4">
        <f>_xlfn.IFNA(VLOOKUP(A10,cf!$A$10:$D$93,4,FALSE),)</f>
        <v>76575</v>
      </c>
      <c r="Q10" s="4"/>
      <c r="R10" s="4">
        <v>195352.11</v>
      </c>
      <c r="S10" s="4">
        <v>0</v>
      </c>
    </row>
    <row r="11" spans="1:19" hidden="1" outlineLevel="1" x14ac:dyDescent="0.25">
      <c r="A11" s="1"/>
      <c r="B11" s="9" t="s">
        <v>415</v>
      </c>
      <c r="C11" s="4">
        <f>SUM(D11:O11)</f>
        <v>170100</v>
      </c>
      <c r="D11" s="4">
        <f>'Min Rent 2016'!E6</f>
        <v>13500</v>
      </c>
      <c r="E11" s="4">
        <f>'Min Rent 2016'!F6</f>
        <v>13500</v>
      </c>
      <c r="F11" s="4">
        <f>'Min Rent 2016'!G6</f>
        <v>13500</v>
      </c>
      <c r="G11" s="4">
        <f>'Min Rent 2016'!H6</f>
        <v>13500</v>
      </c>
      <c r="H11" s="4">
        <f>'Min Rent 2016'!I6</f>
        <v>13500</v>
      </c>
      <c r="I11" s="4">
        <f>'Min Rent 2016'!J6</f>
        <v>13500</v>
      </c>
      <c r="J11" s="4">
        <f>'Min Rent 2016'!K6</f>
        <v>14850</v>
      </c>
      <c r="K11" s="4">
        <f>'Min Rent 2016'!L6</f>
        <v>14850</v>
      </c>
      <c r="L11" s="4">
        <f>'Min Rent 2016'!M6</f>
        <v>14850</v>
      </c>
      <c r="M11" s="4">
        <f>'Min Rent 2016'!N6</f>
        <v>14850</v>
      </c>
      <c r="N11" s="4">
        <f>'Min Rent 2016'!O6</f>
        <v>14850</v>
      </c>
      <c r="O11" s="4">
        <f>'Min Rent 2016'!P6</f>
        <v>14850</v>
      </c>
      <c r="P11" s="4"/>
      <c r="Q11" s="4"/>
      <c r="R11" s="4"/>
      <c r="S11" s="4"/>
    </row>
    <row r="12" spans="1:19" hidden="1" outlineLevel="1" x14ac:dyDescent="0.25">
      <c r="A12" s="1"/>
      <c r="B12" s="9" t="s">
        <v>351</v>
      </c>
      <c r="C12" s="4">
        <f t="shared" ref="C12:C18" si="1">SUM(D12:O12)</f>
        <v>47292</v>
      </c>
      <c r="D12" s="4">
        <f>'Min Rent 2016'!E7</f>
        <v>3941</v>
      </c>
      <c r="E12" s="4">
        <f>'Min Rent 2016'!F7</f>
        <v>3941</v>
      </c>
      <c r="F12" s="4">
        <f>'Min Rent 2016'!G7</f>
        <v>3941</v>
      </c>
      <c r="G12" s="4">
        <f>'Min Rent 2016'!H7</f>
        <v>3941</v>
      </c>
      <c r="H12" s="4">
        <f>'Min Rent 2016'!I7</f>
        <v>3941</v>
      </c>
      <c r="I12" s="4">
        <f>'Min Rent 2016'!J7</f>
        <v>3941</v>
      </c>
      <c r="J12" s="4">
        <f>'Min Rent 2016'!K7</f>
        <v>3941</v>
      </c>
      <c r="K12" s="4">
        <f>'Min Rent 2016'!L7</f>
        <v>3941</v>
      </c>
      <c r="L12" s="4">
        <f>'Min Rent 2016'!M7</f>
        <v>3941</v>
      </c>
      <c r="M12" s="4">
        <f>'Min Rent 2016'!N7</f>
        <v>3941</v>
      </c>
      <c r="N12" s="4">
        <f>'Min Rent 2016'!O7</f>
        <v>3941</v>
      </c>
      <c r="O12" s="4">
        <f>'Min Rent 2016'!P7</f>
        <v>3941</v>
      </c>
      <c r="P12" s="4"/>
      <c r="Q12" s="4"/>
      <c r="R12" s="4"/>
      <c r="S12" s="4"/>
    </row>
    <row r="13" spans="1:19" hidden="1" outlineLevel="1" x14ac:dyDescent="0.25">
      <c r="A13" s="1"/>
      <c r="B13" s="9" t="s">
        <v>416</v>
      </c>
      <c r="C13" s="4">
        <f t="shared" si="1"/>
        <v>29004</v>
      </c>
      <c r="D13" s="4">
        <f>'Min Rent 2016'!E8</f>
        <v>2417</v>
      </c>
      <c r="E13" s="4">
        <f>'Min Rent 2016'!F8</f>
        <v>2417</v>
      </c>
      <c r="F13" s="4">
        <f>'Min Rent 2016'!G8</f>
        <v>2417</v>
      </c>
      <c r="G13" s="4">
        <f>'Min Rent 2016'!H8</f>
        <v>2417</v>
      </c>
      <c r="H13" s="4">
        <f>'Min Rent 2016'!I8</f>
        <v>2417</v>
      </c>
      <c r="I13" s="4">
        <f>'Min Rent 2016'!J8</f>
        <v>2417</v>
      </c>
      <c r="J13" s="4">
        <f>'Min Rent 2016'!K8</f>
        <v>2417</v>
      </c>
      <c r="K13" s="4">
        <f>'Min Rent 2016'!L8</f>
        <v>2417</v>
      </c>
      <c r="L13" s="4">
        <f>'Min Rent 2016'!M8</f>
        <v>2417</v>
      </c>
      <c r="M13" s="4">
        <f>'Min Rent 2016'!N8</f>
        <v>2417</v>
      </c>
      <c r="N13" s="4">
        <f>'Min Rent 2016'!O8</f>
        <v>2417</v>
      </c>
      <c r="O13" s="4">
        <f>'Min Rent 2016'!P8</f>
        <v>2417</v>
      </c>
      <c r="P13" s="4"/>
      <c r="Q13" s="4"/>
      <c r="R13" s="4"/>
      <c r="S13" s="4"/>
    </row>
    <row r="14" spans="1:19" hidden="1" outlineLevel="1" x14ac:dyDescent="0.25">
      <c r="A14" s="1"/>
      <c r="B14" s="9" t="s">
        <v>417</v>
      </c>
      <c r="C14" s="4">
        <f t="shared" si="1"/>
        <v>0</v>
      </c>
      <c r="D14" s="4">
        <f>'Min Rent 2016'!E9</f>
        <v>0</v>
      </c>
      <c r="E14" s="4">
        <f>'Min Rent 2016'!F9</f>
        <v>0</v>
      </c>
      <c r="F14" s="4">
        <f>'Min Rent 2016'!G9</f>
        <v>0</v>
      </c>
      <c r="G14" s="4">
        <f>'Min Rent 2016'!H9</f>
        <v>0</v>
      </c>
      <c r="H14" s="4">
        <f>'Min Rent 2016'!I9</f>
        <v>0</v>
      </c>
      <c r="I14" s="4">
        <f>'Min Rent 2016'!J9</f>
        <v>0</v>
      </c>
      <c r="J14" s="4">
        <f>'Min Rent 2016'!K9</f>
        <v>0</v>
      </c>
      <c r="K14" s="4">
        <f>'Min Rent 2016'!L9</f>
        <v>0</v>
      </c>
      <c r="L14" s="4">
        <f>'Min Rent 2016'!M9</f>
        <v>0</v>
      </c>
      <c r="M14" s="4">
        <f>'Min Rent 2016'!N9</f>
        <v>0</v>
      </c>
      <c r="N14" s="4">
        <f>'Min Rent 2016'!O9</f>
        <v>0</v>
      </c>
      <c r="O14" s="4">
        <f>'Min Rent 2016'!P9</f>
        <v>0</v>
      </c>
      <c r="P14" s="4"/>
      <c r="Q14" s="4"/>
      <c r="R14" s="4"/>
      <c r="S14" s="4"/>
    </row>
    <row r="15" spans="1:19" hidden="1" outlineLevel="1" x14ac:dyDescent="0.25">
      <c r="A15" s="1"/>
      <c r="B15" s="9" t="s">
        <v>418</v>
      </c>
      <c r="C15" s="4">
        <f t="shared" si="1"/>
        <v>68004</v>
      </c>
      <c r="D15" s="4">
        <f>'Min Rent 2016'!E10</f>
        <v>5667</v>
      </c>
      <c r="E15" s="4">
        <f>'Min Rent 2016'!F10</f>
        <v>5667</v>
      </c>
      <c r="F15" s="4">
        <f>'Min Rent 2016'!G10</f>
        <v>5667</v>
      </c>
      <c r="G15" s="4">
        <f>'Min Rent 2016'!H10</f>
        <v>5667</v>
      </c>
      <c r="H15" s="4">
        <f>'Min Rent 2016'!I10</f>
        <v>5667</v>
      </c>
      <c r="I15" s="4">
        <f>'Min Rent 2016'!J10</f>
        <v>5667</v>
      </c>
      <c r="J15" s="4">
        <f>'Min Rent 2016'!K10</f>
        <v>5667</v>
      </c>
      <c r="K15" s="4">
        <f>'Min Rent 2016'!L10</f>
        <v>5667</v>
      </c>
      <c r="L15" s="4">
        <f>'Min Rent 2016'!M10</f>
        <v>5667</v>
      </c>
      <c r="M15" s="4">
        <f>'Min Rent 2016'!N10</f>
        <v>5667</v>
      </c>
      <c r="N15" s="4">
        <f>'Min Rent 2016'!O10</f>
        <v>5667</v>
      </c>
      <c r="O15" s="4">
        <f>'Min Rent 2016'!P10</f>
        <v>5667</v>
      </c>
      <c r="P15" s="4"/>
      <c r="Q15" s="4"/>
      <c r="R15" s="4"/>
      <c r="S15" s="4"/>
    </row>
    <row r="16" spans="1:19" hidden="1" outlineLevel="1" x14ac:dyDescent="0.25">
      <c r="A16" s="1"/>
      <c r="B16" s="9" t="s">
        <v>419</v>
      </c>
      <c r="C16" s="4">
        <f t="shared" si="1"/>
        <v>7796.25</v>
      </c>
      <c r="D16" s="4">
        <f>'Min Rent 2016'!E11</f>
        <v>0</v>
      </c>
      <c r="E16" s="4">
        <f>'Min Rent 2016'!F11</f>
        <v>0</v>
      </c>
      <c r="F16" s="4">
        <f>'Min Rent 2016'!G11</f>
        <v>0</v>
      </c>
      <c r="G16" s="4">
        <f>'Min Rent 2016'!H11</f>
        <v>0</v>
      </c>
      <c r="H16" s="4">
        <f>'Min Rent 2016'!I11</f>
        <v>0</v>
      </c>
      <c r="I16" s="4">
        <f>'Min Rent 2016'!J11</f>
        <v>0</v>
      </c>
      <c r="J16" s="4">
        <f>'Min Rent 2016'!K11</f>
        <v>0</v>
      </c>
      <c r="K16" s="4">
        <f>'Min Rent 2016'!L11</f>
        <v>0</v>
      </c>
      <c r="L16" s="4">
        <f>'Min Rent 2016'!M11</f>
        <v>1113.75</v>
      </c>
      <c r="M16" s="4">
        <f>'Min Rent 2016'!N11</f>
        <v>2227.5</v>
      </c>
      <c r="N16" s="4">
        <f>'Min Rent 2016'!O11</f>
        <v>2227.5</v>
      </c>
      <c r="O16" s="4">
        <f>'Min Rent 2016'!P11</f>
        <v>2227.5</v>
      </c>
      <c r="P16" s="4"/>
      <c r="Q16" s="4"/>
      <c r="R16" s="4"/>
      <c r="S16" s="4"/>
    </row>
    <row r="17" spans="1:19" hidden="1" outlineLevel="1" x14ac:dyDescent="0.25">
      <c r="A17" s="1"/>
      <c r="B17" s="9" t="s">
        <v>419</v>
      </c>
      <c r="C17" s="4">
        <f t="shared" si="1"/>
        <v>4455</v>
      </c>
      <c r="D17" s="4">
        <f>'Min Rent 2016'!E12</f>
        <v>0</v>
      </c>
      <c r="E17" s="4">
        <f>'Min Rent 2016'!F12</f>
        <v>0</v>
      </c>
      <c r="F17" s="4">
        <f>'Min Rent 2016'!G12</f>
        <v>0</v>
      </c>
      <c r="G17" s="4">
        <f>'Min Rent 2016'!H12</f>
        <v>0</v>
      </c>
      <c r="H17" s="4">
        <f>'Min Rent 2016'!I12</f>
        <v>0</v>
      </c>
      <c r="I17" s="4">
        <f>'Min Rent 2016'!J12</f>
        <v>0</v>
      </c>
      <c r="J17" s="4">
        <f>'Min Rent 2016'!K12</f>
        <v>0</v>
      </c>
      <c r="K17" s="4">
        <f>'Min Rent 2016'!L12</f>
        <v>0</v>
      </c>
      <c r="L17" s="4">
        <f>'Min Rent 2016'!M12</f>
        <v>0</v>
      </c>
      <c r="M17" s="4">
        <f>'Min Rent 2016'!N12</f>
        <v>0</v>
      </c>
      <c r="N17" s="4">
        <f>'Min Rent 2016'!O12</f>
        <v>2227.5</v>
      </c>
      <c r="O17" s="4">
        <f>'Min Rent 2016'!P12</f>
        <v>2227.5</v>
      </c>
      <c r="P17" s="4"/>
      <c r="Q17" s="4"/>
      <c r="R17" s="4"/>
      <c r="S17" s="4"/>
    </row>
    <row r="18" spans="1:19" hidden="1" outlineLevel="1" x14ac:dyDescent="0.25">
      <c r="A18" s="1"/>
      <c r="B18" s="9" t="s">
        <v>335</v>
      </c>
      <c r="C18" s="4">
        <f t="shared" si="1"/>
        <v>19672.258064516129</v>
      </c>
      <c r="D18" s="4">
        <f>'Min Rent 2016'!E13</f>
        <v>0</v>
      </c>
      <c r="E18" s="4">
        <f>'Min Rent 2016'!F13</f>
        <v>0</v>
      </c>
      <c r="F18" s="4">
        <f>'Min Rent 2016'!G13</f>
        <v>0</v>
      </c>
      <c r="G18" s="4">
        <f>'Min Rent 2016'!H13</f>
        <v>0</v>
      </c>
      <c r="H18" s="4">
        <f>'Min Rent 2016'!I13</f>
        <v>1192.258064516129</v>
      </c>
      <c r="I18" s="4">
        <f>'Min Rent 2016'!J13</f>
        <v>2640</v>
      </c>
      <c r="J18" s="4">
        <f>'Min Rent 2016'!K13</f>
        <v>2640</v>
      </c>
      <c r="K18" s="4">
        <f>'Min Rent 2016'!L13</f>
        <v>2640</v>
      </c>
      <c r="L18" s="4">
        <f>'Min Rent 2016'!M13</f>
        <v>2640</v>
      </c>
      <c r="M18" s="4">
        <f>'Min Rent 2016'!N13</f>
        <v>2640</v>
      </c>
      <c r="N18" s="4">
        <f>'Min Rent 2016'!O13</f>
        <v>2640</v>
      </c>
      <c r="O18" s="4">
        <f>'Min Rent 2016'!P13</f>
        <v>2640</v>
      </c>
      <c r="P18" s="4"/>
      <c r="Q18" s="4"/>
      <c r="R18" s="4"/>
      <c r="S18" s="4"/>
    </row>
    <row r="19" spans="1:19" collapsed="1" x14ac:dyDescent="0.25">
      <c r="A19" s="1" t="s">
        <v>7</v>
      </c>
      <c r="B19" s="5" t="s">
        <v>8</v>
      </c>
      <c r="C19" s="4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_xlfn.IFNA(VLOOKUP(A19,cf!$A$10:$D$93,4,FALSE),)</f>
        <v>0</v>
      </c>
      <c r="Q19" s="4"/>
      <c r="R19" s="4">
        <v>-18000</v>
      </c>
      <c r="S19" s="4">
        <v>0</v>
      </c>
    </row>
    <row r="20" spans="1:19" ht="15.75" thickBot="1" x14ac:dyDescent="0.3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135" customFormat="1" x14ac:dyDescent="0.25">
      <c r="A21" s="6" t="s">
        <v>9</v>
      </c>
      <c r="B21" s="3" t="s">
        <v>10</v>
      </c>
      <c r="C21" s="133">
        <f>SUM(C19:C20,C10)</f>
        <v>346324</v>
      </c>
      <c r="D21" s="133">
        <f t="shared" ref="D21:O21" si="2">SUM(D19:D20,D10)</f>
        <v>25525</v>
      </c>
      <c r="E21" s="133">
        <f t="shared" si="2"/>
        <v>25525</v>
      </c>
      <c r="F21" s="133">
        <f t="shared" si="2"/>
        <v>25525</v>
      </c>
      <c r="G21" s="133">
        <f t="shared" si="2"/>
        <v>25525</v>
      </c>
      <c r="H21" s="133">
        <f t="shared" si="2"/>
        <v>26717</v>
      </c>
      <c r="I21" s="133">
        <f t="shared" si="2"/>
        <v>28165</v>
      </c>
      <c r="J21" s="133">
        <f t="shared" si="2"/>
        <v>29515</v>
      </c>
      <c r="K21" s="133">
        <f t="shared" si="2"/>
        <v>29515</v>
      </c>
      <c r="L21" s="133">
        <f t="shared" si="2"/>
        <v>30629</v>
      </c>
      <c r="M21" s="133">
        <f t="shared" si="2"/>
        <v>31743</v>
      </c>
      <c r="N21" s="133">
        <f t="shared" si="2"/>
        <v>33970</v>
      </c>
      <c r="O21" s="133">
        <f t="shared" si="2"/>
        <v>33970</v>
      </c>
      <c r="P21" s="133">
        <f>SUM(P10:P20)</f>
        <v>76575</v>
      </c>
      <c r="Q21" s="133"/>
      <c r="R21" s="133">
        <v>177352.11</v>
      </c>
      <c r="S21" s="133">
        <v>0</v>
      </c>
    </row>
    <row r="22" spans="1:19" x14ac:dyDescent="0.25">
      <c r="A22" s="1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 t="s">
        <v>11</v>
      </c>
      <c r="B23" s="5" t="s">
        <v>12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1" t="s">
        <v>13</v>
      </c>
      <c r="B24" s="5" t="s">
        <v>14</v>
      </c>
      <c r="C24" s="4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_xlfn.IFNA(VLOOKUP(A24,cf!$A$10:$D$93,4,FALSE),)</f>
        <v>0</v>
      </c>
      <c r="Q24" s="4"/>
      <c r="R24" s="4">
        <v>3204.45</v>
      </c>
      <c r="S24" s="4">
        <v>0</v>
      </c>
    </row>
    <row r="25" spans="1:19" x14ac:dyDescent="0.25">
      <c r="A25" s="1" t="s">
        <v>15</v>
      </c>
      <c r="B25" s="5" t="s">
        <v>16</v>
      </c>
      <c r="C25" s="4">
        <f>ROUND(SUM(C26:C33),0)</f>
        <v>30030</v>
      </c>
      <c r="D25" s="2">
        <f>ROUND(SUM(D26:D33),0)</f>
        <v>2145</v>
      </c>
      <c r="E25" s="2">
        <f t="shared" ref="E25:O25" si="3">ROUND(SUM(E26:E33),0)</f>
        <v>2145</v>
      </c>
      <c r="F25" s="2">
        <f t="shared" si="3"/>
        <v>2145</v>
      </c>
      <c r="G25" s="2">
        <f t="shared" si="3"/>
        <v>2145</v>
      </c>
      <c r="H25" s="2">
        <f t="shared" si="3"/>
        <v>2300</v>
      </c>
      <c r="I25" s="2">
        <f t="shared" si="3"/>
        <v>2489</v>
      </c>
      <c r="J25" s="2">
        <f t="shared" si="3"/>
        <v>2489</v>
      </c>
      <c r="K25" s="2">
        <f t="shared" si="3"/>
        <v>2489</v>
      </c>
      <c r="L25" s="2">
        <f t="shared" si="3"/>
        <v>2646</v>
      </c>
      <c r="M25" s="2">
        <f t="shared" si="3"/>
        <v>2803</v>
      </c>
      <c r="N25" s="2">
        <f t="shared" si="3"/>
        <v>3117</v>
      </c>
      <c r="O25" s="2">
        <f t="shared" si="3"/>
        <v>3117</v>
      </c>
      <c r="P25" s="4">
        <f>_xlfn.IFNA(VLOOKUP(A25,cf!$A$10:$D$93,4,FALSE),)</f>
        <v>7342.83</v>
      </c>
      <c r="Q25" s="4"/>
      <c r="R25" s="4">
        <v>18219.310000000001</v>
      </c>
      <c r="S25" s="4">
        <v>0</v>
      </c>
    </row>
    <row r="26" spans="1:19" hidden="1" outlineLevel="1" x14ac:dyDescent="0.25">
      <c r="A26" s="1"/>
      <c r="B26" s="9" t="s">
        <v>415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/>
      <c r="Q26" s="4"/>
      <c r="R26" s="4"/>
      <c r="S26" s="4"/>
    </row>
    <row r="27" spans="1:19" hidden="1" outlineLevel="1" x14ac:dyDescent="0.25">
      <c r="A27" s="1"/>
      <c r="B27" s="9" t="s">
        <v>351</v>
      </c>
      <c r="C27" s="4">
        <f t="shared" ref="C27:C33" si="4">SUM(D27:O27)</f>
        <v>5256</v>
      </c>
      <c r="D27" s="4">
        <v>438</v>
      </c>
      <c r="E27" s="4">
        <v>438</v>
      </c>
      <c r="F27" s="4">
        <v>438</v>
      </c>
      <c r="G27" s="4">
        <v>438</v>
      </c>
      <c r="H27" s="4">
        <v>438</v>
      </c>
      <c r="I27" s="4">
        <v>438</v>
      </c>
      <c r="J27" s="4">
        <v>438</v>
      </c>
      <c r="K27" s="4">
        <v>438</v>
      </c>
      <c r="L27" s="4">
        <v>438</v>
      </c>
      <c r="M27" s="4">
        <v>438</v>
      </c>
      <c r="N27" s="4">
        <v>438</v>
      </c>
      <c r="O27" s="4">
        <v>438</v>
      </c>
      <c r="P27" s="4"/>
      <c r="Q27" s="4"/>
      <c r="R27" s="4"/>
      <c r="S27" s="4"/>
    </row>
    <row r="28" spans="1:19" hidden="1" outlineLevel="1" x14ac:dyDescent="0.25">
      <c r="A28" s="1"/>
      <c r="B28" s="9" t="s">
        <v>416</v>
      </c>
      <c r="C28" s="4">
        <f t="shared" si="4"/>
        <v>7932</v>
      </c>
      <c r="D28" s="4">
        <v>661</v>
      </c>
      <c r="E28" s="4">
        <v>661</v>
      </c>
      <c r="F28" s="4">
        <v>661</v>
      </c>
      <c r="G28" s="4">
        <v>661</v>
      </c>
      <c r="H28" s="4">
        <v>661</v>
      </c>
      <c r="I28" s="4">
        <v>661</v>
      </c>
      <c r="J28" s="4">
        <v>661</v>
      </c>
      <c r="K28" s="4">
        <v>661</v>
      </c>
      <c r="L28" s="4">
        <v>661</v>
      </c>
      <c r="M28" s="4">
        <v>661</v>
      </c>
      <c r="N28" s="4">
        <v>661</v>
      </c>
      <c r="O28" s="4">
        <v>661</v>
      </c>
      <c r="P28" s="4"/>
      <c r="Q28" s="4"/>
      <c r="R28" s="4"/>
      <c r="S28" s="4"/>
    </row>
    <row r="29" spans="1:19" hidden="1" outlineLevel="1" x14ac:dyDescent="0.25">
      <c r="A29" s="1"/>
      <c r="B29" s="9" t="s">
        <v>417</v>
      </c>
      <c r="C29" s="4">
        <f t="shared" si="4"/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/>
      <c r="Q29" s="4"/>
      <c r="R29" s="4"/>
      <c r="S29" s="4"/>
    </row>
    <row r="30" spans="1:19" hidden="1" outlineLevel="1" x14ac:dyDescent="0.25">
      <c r="A30" s="1"/>
      <c r="B30" s="9" t="s">
        <v>418</v>
      </c>
      <c r="C30" s="4">
        <f t="shared" si="4"/>
        <v>12552</v>
      </c>
      <c r="D30" s="4">
        <v>1046</v>
      </c>
      <c r="E30" s="4">
        <v>1046</v>
      </c>
      <c r="F30" s="4">
        <v>1046</v>
      </c>
      <c r="G30" s="4">
        <v>1046</v>
      </c>
      <c r="H30" s="4">
        <v>1046</v>
      </c>
      <c r="I30" s="4">
        <v>1046</v>
      </c>
      <c r="J30" s="4">
        <v>1046</v>
      </c>
      <c r="K30" s="4">
        <v>1046</v>
      </c>
      <c r="L30" s="4">
        <v>1046</v>
      </c>
      <c r="M30" s="4">
        <v>1046</v>
      </c>
      <c r="N30" s="4">
        <v>1046</v>
      </c>
      <c r="O30" s="4">
        <v>1046</v>
      </c>
      <c r="P30" s="4"/>
      <c r="Q30" s="4"/>
      <c r="R30" s="4"/>
      <c r="S30" s="4"/>
    </row>
    <row r="31" spans="1:19" hidden="1" outlineLevel="1" x14ac:dyDescent="0.25">
      <c r="A31" s="1"/>
      <c r="B31" s="9" t="s">
        <v>419</v>
      </c>
      <c r="C31" s="4">
        <f t="shared" si="4"/>
        <v>1099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157</v>
      </c>
      <c r="M31" s="4">
        <v>314</v>
      </c>
      <c r="N31" s="4">
        <v>314</v>
      </c>
      <c r="O31" s="4">
        <v>314</v>
      </c>
      <c r="P31" s="4"/>
      <c r="Q31" s="4"/>
      <c r="R31" s="4"/>
      <c r="S31" s="4"/>
    </row>
    <row r="32" spans="1:19" hidden="1" outlineLevel="1" x14ac:dyDescent="0.25">
      <c r="A32" s="1"/>
      <c r="B32" s="9" t="s">
        <v>419</v>
      </c>
      <c r="C32" s="4">
        <f t="shared" si="4"/>
        <v>628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314</v>
      </c>
      <c r="O32" s="4">
        <v>314</v>
      </c>
      <c r="P32" s="4"/>
      <c r="Q32" s="4"/>
      <c r="R32" s="4"/>
      <c r="S32" s="4"/>
    </row>
    <row r="33" spans="1:19" hidden="1" outlineLevel="1" x14ac:dyDescent="0.25">
      <c r="A33" s="1"/>
      <c r="B33" s="9" t="s">
        <v>335</v>
      </c>
      <c r="C33" s="4">
        <f>SUM(D33:O33)</f>
        <v>2563.3548387096776</v>
      </c>
      <c r="D33" s="4">
        <v>0</v>
      </c>
      <c r="E33" s="4">
        <v>0</v>
      </c>
      <c r="F33" s="4">
        <v>0</v>
      </c>
      <c r="G33" s="4"/>
      <c r="H33" s="4">
        <v>155.35483870967744</v>
      </c>
      <c r="I33" s="4">
        <v>344</v>
      </c>
      <c r="J33" s="4">
        <v>344</v>
      </c>
      <c r="K33" s="4">
        <v>344</v>
      </c>
      <c r="L33" s="4">
        <v>344</v>
      </c>
      <c r="M33" s="4">
        <v>344</v>
      </c>
      <c r="N33" s="4">
        <v>344</v>
      </c>
      <c r="O33" s="4">
        <v>344</v>
      </c>
      <c r="P33" s="4"/>
      <c r="Q33" s="4"/>
      <c r="R33" s="4"/>
      <c r="S33" s="4"/>
    </row>
    <row r="34" spans="1:19" collapsed="1" x14ac:dyDescent="0.25">
      <c r="A34" s="1" t="s">
        <v>17</v>
      </c>
      <c r="B34" s="5" t="s">
        <v>18</v>
      </c>
      <c r="C34" s="4">
        <f>SUM(C35:C42)</f>
        <v>4680</v>
      </c>
      <c r="D34" s="4">
        <f t="shared" ref="D34:O34" si="5">SUM(D35:D42)</f>
        <v>390</v>
      </c>
      <c r="E34" s="4">
        <f t="shared" si="5"/>
        <v>390</v>
      </c>
      <c r="F34" s="4">
        <f t="shared" si="5"/>
        <v>390</v>
      </c>
      <c r="G34" s="4">
        <f t="shared" si="5"/>
        <v>390</v>
      </c>
      <c r="H34" s="4">
        <f t="shared" si="5"/>
        <v>390</v>
      </c>
      <c r="I34" s="4">
        <f t="shared" si="5"/>
        <v>390</v>
      </c>
      <c r="J34" s="4">
        <f t="shared" si="5"/>
        <v>390</v>
      </c>
      <c r="K34" s="4">
        <f t="shared" si="5"/>
        <v>390</v>
      </c>
      <c r="L34" s="4">
        <f t="shared" si="5"/>
        <v>390</v>
      </c>
      <c r="M34" s="4">
        <f t="shared" si="5"/>
        <v>390</v>
      </c>
      <c r="N34" s="4">
        <f t="shared" si="5"/>
        <v>390</v>
      </c>
      <c r="O34" s="4">
        <f t="shared" si="5"/>
        <v>390</v>
      </c>
      <c r="P34" s="4">
        <f>_xlfn.IFNA(VLOOKUP(A34,cf!$A$10:$D$93,4,FALSE),)</f>
        <v>1171.92</v>
      </c>
      <c r="Q34" s="4"/>
      <c r="R34" s="4">
        <v>4687.68</v>
      </c>
      <c r="S34" s="4">
        <v>0</v>
      </c>
    </row>
    <row r="35" spans="1:19" hidden="1" outlineLevel="1" x14ac:dyDescent="0.25">
      <c r="A35" s="1"/>
      <c r="B35" s="9" t="s">
        <v>415</v>
      </c>
      <c r="C35" s="4">
        <f>SUM(D35:O35)</f>
        <v>4680</v>
      </c>
      <c r="D35" s="2">
        <f>'Ins 2016'!D6</f>
        <v>390</v>
      </c>
      <c r="E35" s="2">
        <f>'Ins 2016'!E6</f>
        <v>390</v>
      </c>
      <c r="F35" s="2">
        <f>'Ins 2016'!F6</f>
        <v>390</v>
      </c>
      <c r="G35" s="2">
        <f>'Ins 2016'!G6</f>
        <v>390</v>
      </c>
      <c r="H35" s="2">
        <f>'Ins 2016'!H6</f>
        <v>390</v>
      </c>
      <c r="I35" s="2">
        <f>'Ins 2016'!I6</f>
        <v>390</v>
      </c>
      <c r="J35" s="2">
        <f>'Ins 2016'!J6</f>
        <v>390</v>
      </c>
      <c r="K35" s="2">
        <f>'Ins 2016'!K6</f>
        <v>390</v>
      </c>
      <c r="L35" s="2">
        <f>'Ins 2016'!L6</f>
        <v>390</v>
      </c>
      <c r="M35" s="2">
        <f>'Ins 2016'!M6</f>
        <v>390</v>
      </c>
      <c r="N35" s="2">
        <f>'Ins 2016'!N6</f>
        <v>390</v>
      </c>
      <c r="O35" s="2">
        <f>'Ins 2016'!O6</f>
        <v>390</v>
      </c>
      <c r="P35" s="4"/>
      <c r="Q35" s="4"/>
      <c r="R35" s="4"/>
      <c r="S35" s="4"/>
    </row>
    <row r="36" spans="1:19" hidden="1" outlineLevel="1" x14ac:dyDescent="0.25">
      <c r="A36" s="1"/>
      <c r="B36" s="9" t="s">
        <v>351</v>
      </c>
      <c r="C36" s="4">
        <f t="shared" ref="C36:C42" si="6">SUM(D36:O36)</f>
        <v>0</v>
      </c>
      <c r="D36" s="4">
        <f>'Ins 2016'!D7</f>
        <v>0</v>
      </c>
      <c r="E36" s="4">
        <f>'Ins 2016'!E7</f>
        <v>0</v>
      </c>
      <c r="F36" s="4">
        <f>'Ins 2016'!F7</f>
        <v>0</v>
      </c>
      <c r="G36" s="4">
        <f>'Ins 2016'!G7</f>
        <v>0</v>
      </c>
      <c r="H36" s="4">
        <f>'Ins 2016'!H7</f>
        <v>0</v>
      </c>
      <c r="I36" s="4">
        <f>'Ins 2016'!I7</f>
        <v>0</v>
      </c>
      <c r="J36" s="4">
        <f>'Ins 2016'!J7</f>
        <v>0</v>
      </c>
      <c r="K36" s="4">
        <f>'Ins 2016'!K7</f>
        <v>0</v>
      </c>
      <c r="L36" s="4">
        <f>'Ins 2016'!L7</f>
        <v>0</v>
      </c>
      <c r="M36" s="4">
        <f>'Ins 2016'!M7</f>
        <v>0</v>
      </c>
      <c r="N36" s="4">
        <f>'Ins 2016'!N7</f>
        <v>0</v>
      </c>
      <c r="O36" s="4">
        <f>'Ins 2016'!O7</f>
        <v>0</v>
      </c>
      <c r="P36" s="4"/>
      <c r="Q36" s="4"/>
      <c r="R36" s="4"/>
      <c r="S36" s="4"/>
    </row>
    <row r="37" spans="1:19" hidden="1" outlineLevel="1" x14ac:dyDescent="0.25">
      <c r="A37" s="1"/>
      <c r="B37" s="9" t="s">
        <v>416</v>
      </c>
      <c r="C37" s="4">
        <f t="shared" si="6"/>
        <v>0</v>
      </c>
      <c r="D37" s="4">
        <f>'Ins 2016'!D8</f>
        <v>0</v>
      </c>
      <c r="E37" s="4">
        <f>'Ins 2016'!E8</f>
        <v>0</v>
      </c>
      <c r="F37" s="4">
        <f>'Ins 2016'!F8</f>
        <v>0</v>
      </c>
      <c r="G37" s="4">
        <f>'Ins 2016'!G8</f>
        <v>0</v>
      </c>
      <c r="H37" s="4">
        <f>'Ins 2016'!H8</f>
        <v>0</v>
      </c>
      <c r="I37" s="4">
        <f>'Ins 2016'!I8</f>
        <v>0</v>
      </c>
      <c r="J37" s="4">
        <f>'Ins 2016'!J8</f>
        <v>0</v>
      </c>
      <c r="K37" s="4">
        <f>'Ins 2016'!K8</f>
        <v>0</v>
      </c>
      <c r="L37" s="4">
        <f>'Ins 2016'!L8</f>
        <v>0</v>
      </c>
      <c r="M37" s="4">
        <f>'Ins 2016'!M8</f>
        <v>0</v>
      </c>
      <c r="N37" s="4">
        <f>'Ins 2016'!N8</f>
        <v>0</v>
      </c>
      <c r="O37" s="4">
        <f>'Ins 2016'!O8</f>
        <v>0</v>
      </c>
      <c r="P37" s="4"/>
      <c r="Q37" s="4"/>
      <c r="R37" s="4"/>
      <c r="S37" s="4"/>
    </row>
    <row r="38" spans="1:19" hidden="1" outlineLevel="1" x14ac:dyDescent="0.25">
      <c r="A38" s="1"/>
      <c r="B38" s="9" t="s">
        <v>417</v>
      </c>
      <c r="C38" s="4">
        <f t="shared" si="6"/>
        <v>0</v>
      </c>
      <c r="D38" s="4">
        <f>'Ins 2016'!D9</f>
        <v>0</v>
      </c>
      <c r="E38" s="4">
        <f>'Ins 2016'!E9</f>
        <v>0</v>
      </c>
      <c r="F38" s="4">
        <f>'Ins 2016'!F9</f>
        <v>0</v>
      </c>
      <c r="G38" s="4">
        <f>'Ins 2016'!G9</f>
        <v>0</v>
      </c>
      <c r="H38" s="4">
        <f>'Ins 2016'!H9</f>
        <v>0</v>
      </c>
      <c r="I38" s="4">
        <f>'Ins 2016'!I9</f>
        <v>0</v>
      </c>
      <c r="J38" s="4">
        <f>'Ins 2016'!J9</f>
        <v>0</v>
      </c>
      <c r="K38" s="4">
        <f>'Ins 2016'!K9</f>
        <v>0</v>
      </c>
      <c r="L38" s="4">
        <f>'Ins 2016'!L9</f>
        <v>0</v>
      </c>
      <c r="M38" s="4">
        <f>'Ins 2016'!M9</f>
        <v>0</v>
      </c>
      <c r="N38" s="4">
        <f>'Ins 2016'!N9</f>
        <v>0</v>
      </c>
      <c r="O38" s="4">
        <f>'Ins 2016'!O9</f>
        <v>0</v>
      </c>
      <c r="P38" s="4"/>
      <c r="Q38" s="4"/>
      <c r="R38" s="4"/>
      <c r="S38" s="4"/>
    </row>
    <row r="39" spans="1:19" hidden="1" outlineLevel="1" x14ac:dyDescent="0.25">
      <c r="A39" s="1"/>
      <c r="B39" s="9" t="s">
        <v>418</v>
      </c>
      <c r="C39" s="4">
        <f t="shared" si="6"/>
        <v>0</v>
      </c>
      <c r="D39" s="4">
        <f>'Ins 2016'!D10</f>
        <v>0</v>
      </c>
      <c r="E39" s="4">
        <f>'Ins 2016'!E10</f>
        <v>0</v>
      </c>
      <c r="F39" s="4">
        <f>'Ins 2016'!F10</f>
        <v>0</v>
      </c>
      <c r="G39" s="4">
        <f>'Ins 2016'!G10</f>
        <v>0</v>
      </c>
      <c r="H39" s="4">
        <f>'Ins 2016'!H10</f>
        <v>0</v>
      </c>
      <c r="I39" s="4">
        <f>'Ins 2016'!I10</f>
        <v>0</v>
      </c>
      <c r="J39" s="4">
        <f>'Ins 2016'!J10</f>
        <v>0</v>
      </c>
      <c r="K39" s="4">
        <f>'Ins 2016'!K10</f>
        <v>0</v>
      </c>
      <c r="L39" s="4">
        <f>'Ins 2016'!L10</f>
        <v>0</v>
      </c>
      <c r="M39" s="4">
        <f>'Ins 2016'!M10</f>
        <v>0</v>
      </c>
      <c r="N39" s="4">
        <f>'Ins 2016'!N10</f>
        <v>0</v>
      </c>
      <c r="O39" s="4">
        <f>'Ins 2016'!O10</f>
        <v>0</v>
      </c>
      <c r="P39" s="4"/>
      <c r="Q39" s="4"/>
      <c r="R39" s="4"/>
      <c r="S39" s="4"/>
    </row>
    <row r="40" spans="1:19" hidden="1" outlineLevel="1" x14ac:dyDescent="0.25">
      <c r="A40" s="1"/>
      <c r="B40" s="9" t="s">
        <v>419</v>
      </c>
      <c r="C40" s="4">
        <f t="shared" si="6"/>
        <v>0</v>
      </c>
      <c r="D40" s="4">
        <f>'Ins 2016'!D11</f>
        <v>0</v>
      </c>
      <c r="E40" s="4">
        <f>'Ins 2016'!E11</f>
        <v>0</v>
      </c>
      <c r="F40" s="4">
        <f>'Ins 2016'!F11</f>
        <v>0</v>
      </c>
      <c r="G40" s="4">
        <f>'Ins 2016'!G11</f>
        <v>0</v>
      </c>
      <c r="H40" s="4">
        <f>'Ins 2016'!H11</f>
        <v>0</v>
      </c>
      <c r="I40" s="4">
        <f>'Ins 2016'!I11</f>
        <v>0</v>
      </c>
      <c r="J40" s="4">
        <f>'Ins 2016'!J11</f>
        <v>0</v>
      </c>
      <c r="K40" s="4">
        <f>'Ins 2016'!K11</f>
        <v>0</v>
      </c>
      <c r="L40" s="4">
        <f>'Ins 2016'!L11</f>
        <v>0</v>
      </c>
      <c r="M40" s="4">
        <f>'Ins 2016'!M11</f>
        <v>0</v>
      </c>
      <c r="N40" s="4">
        <f>'Ins 2016'!N11</f>
        <v>0</v>
      </c>
      <c r="O40" s="4">
        <f>'Ins 2016'!O11</f>
        <v>0</v>
      </c>
      <c r="P40" s="4"/>
      <c r="Q40" s="4"/>
      <c r="R40" s="4"/>
      <c r="S40" s="4"/>
    </row>
    <row r="41" spans="1:19" hidden="1" outlineLevel="1" x14ac:dyDescent="0.25">
      <c r="A41" s="1"/>
      <c r="B41" s="9" t="s">
        <v>419</v>
      </c>
      <c r="C41" s="4">
        <f t="shared" si="6"/>
        <v>0</v>
      </c>
      <c r="D41" s="4">
        <f>'Ins 2016'!D12</f>
        <v>0</v>
      </c>
      <c r="E41" s="4">
        <f>'Ins 2016'!E12</f>
        <v>0</v>
      </c>
      <c r="F41" s="4">
        <f>'Ins 2016'!F12</f>
        <v>0</v>
      </c>
      <c r="G41" s="4">
        <f>'Ins 2016'!G12</f>
        <v>0</v>
      </c>
      <c r="H41" s="4">
        <f>'Ins 2016'!H12</f>
        <v>0</v>
      </c>
      <c r="I41" s="4">
        <f>'Ins 2016'!I12</f>
        <v>0</v>
      </c>
      <c r="J41" s="4">
        <f>'Ins 2016'!J12</f>
        <v>0</v>
      </c>
      <c r="K41" s="4">
        <f>'Ins 2016'!K12</f>
        <v>0</v>
      </c>
      <c r="L41" s="4">
        <f>'Ins 2016'!L12</f>
        <v>0</v>
      </c>
      <c r="M41" s="4">
        <f>'Ins 2016'!M12</f>
        <v>0</v>
      </c>
      <c r="N41" s="4">
        <f>'Ins 2016'!N12</f>
        <v>0</v>
      </c>
      <c r="O41" s="4">
        <f>'Ins 2016'!O12</f>
        <v>0</v>
      </c>
      <c r="P41" s="4"/>
      <c r="Q41" s="4"/>
      <c r="R41" s="4"/>
      <c r="S41" s="4"/>
    </row>
    <row r="42" spans="1:19" hidden="1" outlineLevel="1" x14ac:dyDescent="0.25">
      <c r="A42" s="1"/>
      <c r="B42" s="9" t="s">
        <v>335</v>
      </c>
      <c r="C42" s="4">
        <f t="shared" si="6"/>
        <v>0</v>
      </c>
      <c r="D42" s="4">
        <f>'Ins 2016'!D13</f>
        <v>0</v>
      </c>
      <c r="E42" s="4">
        <f>'Ins 2016'!E13</f>
        <v>0</v>
      </c>
      <c r="F42" s="4">
        <f>'Ins 2016'!F13</f>
        <v>0</v>
      </c>
      <c r="G42" s="4">
        <f>'Ins 2016'!G13</f>
        <v>0</v>
      </c>
      <c r="H42" s="4">
        <f>'Ins 2016'!H13</f>
        <v>0</v>
      </c>
      <c r="I42" s="4">
        <f>'Ins 2016'!I13</f>
        <v>0</v>
      </c>
      <c r="J42" s="4">
        <f>'Ins 2016'!J13</f>
        <v>0</v>
      </c>
      <c r="K42" s="4">
        <f>'Ins 2016'!K13</f>
        <v>0</v>
      </c>
      <c r="L42" s="4">
        <f>'Ins 2016'!L13</f>
        <v>0</v>
      </c>
      <c r="M42" s="4">
        <f>'Ins 2016'!M13</f>
        <v>0</v>
      </c>
      <c r="N42" s="4">
        <f>'Ins 2016'!N13</f>
        <v>0</v>
      </c>
      <c r="O42" s="4">
        <f>'Ins 2016'!O13</f>
        <v>0</v>
      </c>
      <c r="P42" s="4"/>
      <c r="Q42" s="4"/>
      <c r="R42" s="4"/>
      <c r="S42" s="4"/>
    </row>
    <row r="43" spans="1:19" collapsed="1" x14ac:dyDescent="0.25">
      <c r="A43" s="1" t="s">
        <v>19</v>
      </c>
      <c r="B43" s="5" t="s">
        <v>20</v>
      </c>
      <c r="C43" s="4">
        <f>ROUND(SUM(C44:C51),0)</f>
        <v>77437</v>
      </c>
      <c r="D43" s="2">
        <f t="shared" ref="D43:O43" si="7">ROUNDDOWN(SUM(D44:D51),0)</f>
        <v>6007</v>
      </c>
      <c r="E43" s="2">
        <f t="shared" si="7"/>
        <v>6007</v>
      </c>
      <c r="F43" s="2">
        <f t="shared" si="7"/>
        <v>6007</v>
      </c>
      <c r="G43" s="2">
        <f t="shared" si="7"/>
        <v>6007</v>
      </c>
      <c r="H43" s="2">
        <f t="shared" si="7"/>
        <v>6200</v>
      </c>
      <c r="I43" s="2">
        <f t="shared" si="7"/>
        <v>6436</v>
      </c>
      <c r="J43" s="2">
        <f t="shared" si="7"/>
        <v>6436</v>
      </c>
      <c r="K43" s="2">
        <f t="shared" si="7"/>
        <v>6436</v>
      </c>
      <c r="L43" s="2">
        <f t="shared" si="7"/>
        <v>6632</v>
      </c>
      <c r="M43" s="2">
        <f t="shared" si="7"/>
        <v>6828</v>
      </c>
      <c r="N43" s="2">
        <f t="shared" si="7"/>
        <v>7220</v>
      </c>
      <c r="O43" s="2">
        <f t="shared" si="7"/>
        <v>7220</v>
      </c>
      <c r="P43" s="4">
        <f>_xlfn.IFNA(VLOOKUP(A43,cf!$A$10:$D$93,4,FALSE),)</f>
        <v>18028.740000000002</v>
      </c>
      <c r="Q43" s="4"/>
      <c r="R43" s="4">
        <v>58319.7</v>
      </c>
      <c r="S43" s="4">
        <v>0</v>
      </c>
    </row>
    <row r="44" spans="1:19" hidden="1" outlineLevel="1" x14ac:dyDescent="0.25">
      <c r="A44" s="1"/>
      <c r="B44" s="9" t="s">
        <v>415</v>
      </c>
      <c r="C44" s="4">
        <f>SUM(D44:O44)</f>
        <v>38160</v>
      </c>
      <c r="D44" s="4">
        <f>'RETaxes 2016'!E6</f>
        <v>3180</v>
      </c>
      <c r="E44" s="4">
        <f>'RETaxes 2016'!F6</f>
        <v>3180</v>
      </c>
      <c r="F44" s="4">
        <f>'RETaxes 2016'!G6</f>
        <v>3180</v>
      </c>
      <c r="G44" s="4">
        <f>'RETaxes 2016'!H6</f>
        <v>3180</v>
      </c>
      <c r="H44" s="4">
        <f>'RETaxes 2016'!I6</f>
        <v>3180</v>
      </c>
      <c r="I44" s="4">
        <f>'RETaxes 2016'!J6</f>
        <v>3180</v>
      </c>
      <c r="J44" s="4">
        <f>'RETaxes 2016'!K6</f>
        <v>3180</v>
      </c>
      <c r="K44" s="4">
        <f>'RETaxes 2016'!L6</f>
        <v>3180</v>
      </c>
      <c r="L44" s="4">
        <f>'RETaxes 2016'!M6</f>
        <v>3180</v>
      </c>
      <c r="M44" s="4">
        <f>'RETaxes 2016'!N6</f>
        <v>3180</v>
      </c>
      <c r="N44" s="4">
        <f>'RETaxes 2016'!O6</f>
        <v>3180</v>
      </c>
      <c r="O44" s="4">
        <f>'RETaxes 2016'!P6</f>
        <v>3180</v>
      </c>
      <c r="P44" s="4"/>
      <c r="Q44" s="4"/>
      <c r="R44" s="4"/>
      <c r="S44" s="4"/>
    </row>
    <row r="45" spans="1:19" hidden="1" outlineLevel="1" x14ac:dyDescent="0.25">
      <c r="A45" s="1"/>
      <c r="B45" s="9" t="s">
        <v>351</v>
      </c>
      <c r="C45" s="4">
        <f t="shared" ref="C45:C51" si="8">SUM(D45:O45)</f>
        <v>8580</v>
      </c>
      <c r="D45" s="4">
        <f>'RETaxes 2016'!E7</f>
        <v>715</v>
      </c>
      <c r="E45" s="4">
        <f>'RETaxes 2016'!F7</f>
        <v>715</v>
      </c>
      <c r="F45" s="4">
        <f>'RETaxes 2016'!G7</f>
        <v>715</v>
      </c>
      <c r="G45" s="4">
        <f>'RETaxes 2016'!H7</f>
        <v>715</v>
      </c>
      <c r="H45" s="4">
        <f>'RETaxes 2016'!I7</f>
        <v>715</v>
      </c>
      <c r="I45" s="4">
        <f>'RETaxes 2016'!J7</f>
        <v>715</v>
      </c>
      <c r="J45" s="4">
        <f>'RETaxes 2016'!K7</f>
        <v>715</v>
      </c>
      <c r="K45" s="4">
        <f>'RETaxes 2016'!L7</f>
        <v>715</v>
      </c>
      <c r="L45" s="4">
        <f>'RETaxes 2016'!M7</f>
        <v>715</v>
      </c>
      <c r="M45" s="4">
        <f>'RETaxes 2016'!N7</f>
        <v>715</v>
      </c>
      <c r="N45" s="4">
        <f>'RETaxes 2016'!O7</f>
        <v>715</v>
      </c>
      <c r="O45" s="4">
        <f>'RETaxes 2016'!P7</f>
        <v>715</v>
      </c>
      <c r="P45" s="4"/>
      <c r="Q45" s="4"/>
      <c r="R45" s="4"/>
      <c r="S45" s="4"/>
    </row>
    <row r="46" spans="1:19" hidden="1" outlineLevel="1" x14ac:dyDescent="0.25">
      <c r="A46" s="1"/>
      <c r="B46" s="9" t="s">
        <v>416</v>
      </c>
      <c r="C46" s="4">
        <f t="shared" si="8"/>
        <v>9804</v>
      </c>
      <c r="D46" s="4">
        <f>'RETaxes 2016'!E8</f>
        <v>817</v>
      </c>
      <c r="E46" s="4">
        <f>'RETaxes 2016'!F8</f>
        <v>817</v>
      </c>
      <c r="F46" s="4">
        <f>'RETaxes 2016'!G8</f>
        <v>817</v>
      </c>
      <c r="G46" s="4">
        <f>'RETaxes 2016'!H8</f>
        <v>817</v>
      </c>
      <c r="H46" s="4">
        <f>'RETaxes 2016'!I8</f>
        <v>817</v>
      </c>
      <c r="I46" s="4">
        <f>'RETaxes 2016'!J8</f>
        <v>817</v>
      </c>
      <c r="J46" s="4">
        <f>'RETaxes 2016'!K8</f>
        <v>817</v>
      </c>
      <c r="K46" s="4">
        <f>'RETaxes 2016'!L8</f>
        <v>817</v>
      </c>
      <c r="L46" s="4">
        <f>'RETaxes 2016'!M8</f>
        <v>817</v>
      </c>
      <c r="M46" s="4">
        <f>'RETaxes 2016'!N8</f>
        <v>817</v>
      </c>
      <c r="N46" s="4">
        <f>'RETaxes 2016'!O8</f>
        <v>817</v>
      </c>
      <c r="O46" s="4">
        <f>'RETaxes 2016'!P8</f>
        <v>817</v>
      </c>
      <c r="P46" s="4"/>
      <c r="Q46" s="4"/>
      <c r="R46" s="4"/>
      <c r="S46" s="4"/>
    </row>
    <row r="47" spans="1:19" hidden="1" outlineLevel="1" x14ac:dyDescent="0.25">
      <c r="A47" s="1"/>
      <c r="B47" s="9" t="s">
        <v>417</v>
      </c>
      <c r="C47" s="4">
        <f t="shared" si="8"/>
        <v>0</v>
      </c>
      <c r="D47" s="4">
        <f>'RETaxes 2016'!E9</f>
        <v>0</v>
      </c>
      <c r="E47" s="4">
        <f>'RETaxes 2016'!F9</f>
        <v>0</v>
      </c>
      <c r="F47" s="4">
        <f>'RETaxes 2016'!G9</f>
        <v>0</v>
      </c>
      <c r="G47" s="4">
        <f>'RETaxes 2016'!H9</f>
        <v>0</v>
      </c>
      <c r="H47" s="4">
        <f>'RETaxes 2016'!I9</f>
        <v>0</v>
      </c>
      <c r="I47" s="4">
        <f>'RETaxes 2016'!J9</f>
        <v>0</v>
      </c>
      <c r="J47" s="4">
        <f>'RETaxes 2016'!K9</f>
        <v>0</v>
      </c>
      <c r="K47" s="4">
        <f>'RETaxes 2016'!L9</f>
        <v>0</v>
      </c>
      <c r="L47" s="4">
        <f>'RETaxes 2016'!M9</f>
        <v>0</v>
      </c>
      <c r="M47" s="4">
        <f>'RETaxes 2016'!N9</f>
        <v>0</v>
      </c>
      <c r="N47" s="4">
        <f>'RETaxes 2016'!O9</f>
        <v>0</v>
      </c>
      <c r="O47" s="4">
        <f>'RETaxes 2016'!P9</f>
        <v>0</v>
      </c>
      <c r="P47" s="4"/>
      <c r="Q47" s="4"/>
      <c r="R47" s="4"/>
      <c r="S47" s="4"/>
    </row>
    <row r="48" spans="1:19" hidden="1" outlineLevel="1" x14ac:dyDescent="0.25">
      <c r="A48" s="1"/>
      <c r="B48" s="9" t="s">
        <v>418</v>
      </c>
      <c r="C48" s="4">
        <f t="shared" si="8"/>
        <v>15540</v>
      </c>
      <c r="D48" s="4">
        <f>'RETaxes 2016'!E10</f>
        <v>1295</v>
      </c>
      <c r="E48" s="4">
        <f>'RETaxes 2016'!F10</f>
        <v>1295</v>
      </c>
      <c r="F48" s="4">
        <f>'RETaxes 2016'!G10</f>
        <v>1295</v>
      </c>
      <c r="G48" s="4">
        <f>'RETaxes 2016'!H10</f>
        <v>1295</v>
      </c>
      <c r="H48" s="4">
        <f>'RETaxes 2016'!I10</f>
        <v>1295</v>
      </c>
      <c r="I48" s="4">
        <f>'RETaxes 2016'!J10</f>
        <v>1295</v>
      </c>
      <c r="J48" s="4">
        <f>'RETaxes 2016'!K10</f>
        <v>1295</v>
      </c>
      <c r="K48" s="4">
        <f>'RETaxes 2016'!L10</f>
        <v>1295</v>
      </c>
      <c r="L48" s="4">
        <f>'RETaxes 2016'!M10</f>
        <v>1295</v>
      </c>
      <c r="M48" s="4">
        <f>'RETaxes 2016'!N10</f>
        <v>1295</v>
      </c>
      <c r="N48" s="4">
        <f>'RETaxes 2016'!O10</f>
        <v>1295</v>
      </c>
      <c r="O48" s="4">
        <f>'RETaxes 2016'!P10</f>
        <v>1295</v>
      </c>
      <c r="P48" s="4"/>
      <c r="Q48" s="4"/>
      <c r="R48" s="4"/>
      <c r="S48" s="4"/>
    </row>
    <row r="49" spans="1:19" hidden="1" outlineLevel="1" x14ac:dyDescent="0.25">
      <c r="A49" s="1"/>
      <c r="B49" s="9" t="s">
        <v>419</v>
      </c>
      <c r="C49" s="4">
        <f t="shared" si="8"/>
        <v>1372</v>
      </c>
      <c r="D49" s="4">
        <f>'RETaxes 2016'!E11</f>
        <v>0</v>
      </c>
      <c r="E49" s="4">
        <f>'RETaxes 2016'!F11</f>
        <v>0</v>
      </c>
      <c r="F49" s="4">
        <f>'RETaxes 2016'!G11</f>
        <v>0</v>
      </c>
      <c r="G49" s="4">
        <f>'RETaxes 2016'!H11</f>
        <v>0</v>
      </c>
      <c r="H49" s="4">
        <f>'RETaxes 2016'!I11</f>
        <v>0</v>
      </c>
      <c r="I49" s="4">
        <f>'RETaxes 2016'!J11</f>
        <v>0</v>
      </c>
      <c r="J49" s="4">
        <f>'RETaxes 2016'!K11</f>
        <v>0</v>
      </c>
      <c r="K49" s="4">
        <f>'RETaxes 2016'!L11</f>
        <v>0</v>
      </c>
      <c r="L49" s="4">
        <f>'RETaxes 2016'!M11</f>
        <v>196</v>
      </c>
      <c r="M49" s="4">
        <f>'RETaxes 2016'!N11</f>
        <v>392</v>
      </c>
      <c r="N49" s="4">
        <f>'RETaxes 2016'!O11</f>
        <v>392</v>
      </c>
      <c r="O49" s="4">
        <f>'RETaxes 2016'!P11</f>
        <v>392</v>
      </c>
      <c r="P49" s="4"/>
      <c r="Q49" s="4"/>
      <c r="R49" s="4"/>
      <c r="S49" s="4"/>
    </row>
    <row r="50" spans="1:19" hidden="1" outlineLevel="1" x14ac:dyDescent="0.25">
      <c r="A50" s="1"/>
      <c r="B50" s="9" t="s">
        <v>419</v>
      </c>
      <c r="C50" s="4">
        <f t="shared" si="8"/>
        <v>784</v>
      </c>
      <c r="D50" s="4">
        <f>'RETaxes 2016'!E12</f>
        <v>0</v>
      </c>
      <c r="E50" s="4">
        <f>'RETaxes 2016'!F12</f>
        <v>0</v>
      </c>
      <c r="F50" s="4">
        <f>'RETaxes 2016'!G12</f>
        <v>0</v>
      </c>
      <c r="G50" s="4">
        <f>'RETaxes 2016'!H12</f>
        <v>0</v>
      </c>
      <c r="H50" s="4">
        <f>'RETaxes 2016'!I12</f>
        <v>0</v>
      </c>
      <c r="I50" s="4">
        <f>'RETaxes 2016'!J12</f>
        <v>0</v>
      </c>
      <c r="J50" s="4">
        <f>'RETaxes 2016'!K12</f>
        <v>0</v>
      </c>
      <c r="K50" s="4">
        <f>'RETaxes 2016'!L12</f>
        <v>0</v>
      </c>
      <c r="L50" s="4">
        <f>'RETaxes 2016'!M12</f>
        <v>0</v>
      </c>
      <c r="M50" s="4">
        <f>'RETaxes 2016'!N12</f>
        <v>0</v>
      </c>
      <c r="N50" s="4">
        <f>'RETaxes 2016'!O12</f>
        <v>392</v>
      </c>
      <c r="O50" s="4">
        <f>'RETaxes 2016'!P12</f>
        <v>392</v>
      </c>
      <c r="P50" s="4"/>
      <c r="Q50" s="4"/>
      <c r="R50" s="4"/>
      <c r="S50" s="4"/>
    </row>
    <row r="51" spans="1:19" hidden="1" outlineLevel="1" x14ac:dyDescent="0.25">
      <c r="A51" s="1"/>
      <c r="B51" s="9" t="s">
        <v>335</v>
      </c>
      <c r="C51" s="4">
        <f t="shared" si="8"/>
        <v>3196.7419354838712</v>
      </c>
      <c r="D51" s="4">
        <f>'RETaxes 2016'!E13</f>
        <v>0</v>
      </c>
      <c r="E51" s="4">
        <f>'RETaxes 2016'!F13</f>
        <v>0</v>
      </c>
      <c r="F51" s="4">
        <f>'RETaxes 2016'!G13</f>
        <v>0</v>
      </c>
      <c r="G51" s="4">
        <f>'RETaxes 2016'!H13</f>
        <v>0</v>
      </c>
      <c r="H51" s="4">
        <f>'RETaxes 2016'!I13</f>
        <v>193.74193548387095</v>
      </c>
      <c r="I51" s="4">
        <f>'RETaxes 2016'!J13</f>
        <v>429</v>
      </c>
      <c r="J51" s="4">
        <f>'RETaxes 2016'!K13</f>
        <v>429</v>
      </c>
      <c r="K51" s="4">
        <f>'RETaxes 2016'!L13</f>
        <v>429</v>
      </c>
      <c r="L51" s="4">
        <f>'RETaxes 2016'!M13</f>
        <v>429</v>
      </c>
      <c r="M51" s="4">
        <f>'RETaxes 2016'!N13</f>
        <v>429</v>
      </c>
      <c r="N51" s="4">
        <f>'RETaxes 2016'!O13</f>
        <v>429</v>
      </c>
      <c r="O51" s="4">
        <f>'RETaxes 2016'!P13</f>
        <v>429</v>
      </c>
      <c r="P51" s="4"/>
      <c r="Q51" s="4"/>
      <c r="R51" s="4"/>
      <c r="S51" s="4"/>
    </row>
    <row r="52" spans="1:19" collapsed="1" x14ac:dyDescent="0.25">
      <c r="A52" s="1" t="s">
        <v>21</v>
      </c>
      <c r="B52" s="5" t="s">
        <v>22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f>_xlfn.IFNA(VLOOKUP(A52,cf!$A$10:$D$93,4,FALSE),)</f>
        <v>0</v>
      </c>
      <c r="Q52" s="4"/>
      <c r="R52" s="4">
        <v>3487.3</v>
      </c>
      <c r="S52" s="4">
        <v>0</v>
      </c>
    </row>
    <row r="53" spans="1:19" x14ac:dyDescent="0.25">
      <c r="A53" s="1" t="s">
        <v>23</v>
      </c>
      <c r="B53" s="5" t="s">
        <v>24</v>
      </c>
      <c r="C53" s="4"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>_xlfn.IFNA(VLOOKUP(A53,cf!$A$10:$D$93,4,FALSE),)</f>
        <v>0</v>
      </c>
      <c r="Q53" s="4"/>
      <c r="R53" s="4">
        <v>155.13999999999999</v>
      </c>
      <c r="S53" s="4">
        <v>0</v>
      </c>
    </row>
    <row r="54" spans="1:19" x14ac:dyDescent="0.25">
      <c r="A54" s="1" t="s">
        <v>25</v>
      </c>
      <c r="B54" s="5" t="s">
        <v>26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f>_xlfn.IFNA(VLOOKUP(A54,cf!$A$10:$D$93,4,FALSE),)</f>
        <v>0</v>
      </c>
      <c r="Q54" s="4"/>
      <c r="R54" s="4">
        <v>1119.8800000000001</v>
      </c>
      <c r="S54" s="4">
        <v>0</v>
      </c>
    </row>
    <row r="55" spans="1:19" ht="15.75" thickBot="1" x14ac:dyDescent="0.3">
      <c r="A55" s="1" t="s">
        <v>27</v>
      </c>
      <c r="B55" s="5" t="s">
        <v>28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>_xlfn.IFNA(VLOOKUP(A55,cf!$A$10:$D$93,4,FALSE),)</f>
        <v>1201.32</v>
      </c>
      <c r="Q55" s="4"/>
      <c r="R55" s="4">
        <v>400.44</v>
      </c>
      <c r="S55" s="4">
        <v>0</v>
      </c>
    </row>
    <row r="56" spans="1:19" s="135" customFormat="1" x14ac:dyDescent="0.25">
      <c r="A56" s="6" t="s">
        <v>29</v>
      </c>
      <c r="B56" s="3" t="s">
        <v>30</v>
      </c>
      <c r="C56" s="133">
        <f>SUM(C52:C55,C43,C34,C25,C24)</f>
        <v>112147</v>
      </c>
      <c r="D56" s="133">
        <f t="shared" ref="D56:O56" si="9">SUM(D52:D55,D43,D34,D25,D24)</f>
        <v>8542</v>
      </c>
      <c r="E56" s="133">
        <f t="shared" si="9"/>
        <v>8542</v>
      </c>
      <c r="F56" s="133">
        <f t="shared" si="9"/>
        <v>8542</v>
      </c>
      <c r="G56" s="133">
        <f t="shared" si="9"/>
        <v>8542</v>
      </c>
      <c r="H56" s="133">
        <f t="shared" si="9"/>
        <v>8890</v>
      </c>
      <c r="I56" s="133">
        <f t="shared" si="9"/>
        <v>9315</v>
      </c>
      <c r="J56" s="133">
        <f t="shared" si="9"/>
        <v>9315</v>
      </c>
      <c r="K56" s="133">
        <f t="shared" si="9"/>
        <v>9315</v>
      </c>
      <c r="L56" s="133">
        <f t="shared" si="9"/>
        <v>9668</v>
      </c>
      <c r="M56" s="133">
        <f t="shared" si="9"/>
        <v>10021</v>
      </c>
      <c r="N56" s="133">
        <f t="shared" si="9"/>
        <v>10727</v>
      </c>
      <c r="O56" s="133">
        <f t="shared" si="9"/>
        <v>10727</v>
      </c>
      <c r="P56" s="133">
        <f>SUM(P24:P55)</f>
        <v>27744.81</v>
      </c>
      <c r="Q56" s="133"/>
      <c r="R56" s="133">
        <v>89593.9</v>
      </c>
      <c r="S56" s="133">
        <v>0</v>
      </c>
    </row>
    <row r="57" spans="1:19" x14ac:dyDescent="0.25">
      <c r="A57" s="1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 t="s">
        <v>31</v>
      </c>
      <c r="B58" s="5" t="s">
        <v>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x14ac:dyDescent="0.25">
      <c r="A59" s="1" t="s">
        <v>33</v>
      </c>
      <c r="B59" s="5" t="s">
        <v>34</v>
      </c>
      <c r="C59" s="4">
        <v>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_xlfn.IFNA(VLOOKUP(A59,cf!$A$10:$D$93,4,FALSE),)</f>
        <v>0</v>
      </c>
      <c r="Q59" s="4"/>
      <c r="R59" s="4">
        <v>78</v>
      </c>
      <c r="S59" s="4">
        <v>0</v>
      </c>
    </row>
    <row r="60" spans="1:19" x14ac:dyDescent="0.25">
      <c r="A60" s="1" t="s">
        <v>35</v>
      </c>
      <c r="B60" s="5" t="s">
        <v>36</v>
      </c>
      <c r="C60" s="4">
        <v>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_xlfn.IFNA(VLOOKUP(A60,cf!$A$10:$D$93,4,FALSE),)</f>
        <v>0</v>
      </c>
      <c r="Q60" s="4"/>
      <c r="R60" s="4">
        <v>1501.81</v>
      </c>
      <c r="S60" s="4">
        <v>0</v>
      </c>
    </row>
    <row r="61" spans="1:19" x14ac:dyDescent="0.25">
      <c r="A61" s="1"/>
      <c r="B61" s="5" t="s">
        <v>437</v>
      </c>
      <c r="C61" s="59">
        <f>SUM(D61:O61)</f>
        <v>255000</v>
      </c>
      <c r="D61" s="59">
        <v>0</v>
      </c>
      <c r="E61" s="59">
        <v>0</v>
      </c>
      <c r="F61" s="59">
        <v>0</v>
      </c>
      <c r="G61" s="59">
        <v>155000</v>
      </c>
      <c r="H61" s="59">
        <v>50000</v>
      </c>
      <c r="I61" s="59">
        <v>30000</v>
      </c>
      <c r="J61" s="59">
        <v>20000</v>
      </c>
      <c r="K61" s="59"/>
      <c r="L61" s="59">
        <v>0</v>
      </c>
      <c r="M61" s="59">
        <v>0</v>
      </c>
      <c r="N61" s="59">
        <v>0</v>
      </c>
      <c r="O61" s="59">
        <v>0</v>
      </c>
      <c r="P61" s="1"/>
      <c r="Q61" s="1"/>
      <c r="R61" s="1"/>
      <c r="S61" s="1"/>
    </row>
    <row r="62" spans="1:19" x14ac:dyDescent="0.25">
      <c r="A62" s="1"/>
      <c r="B62" s="5" t="s">
        <v>436</v>
      </c>
      <c r="C62" s="59">
        <v>-10949</v>
      </c>
      <c r="D62" s="132">
        <f>$C$62/12</f>
        <v>-912.41666666666663</v>
      </c>
      <c r="E62" s="132">
        <f>$C$62/12</f>
        <v>-912.41666666666663</v>
      </c>
      <c r="F62" s="132">
        <f>$C$62/12</f>
        <v>-912.41666666666663</v>
      </c>
      <c r="G62" s="132">
        <f>$C$62/12</f>
        <v>-912.41666666666663</v>
      </c>
      <c r="H62" s="132">
        <f>$C$62/12</f>
        <v>-912.41666666666663</v>
      </c>
      <c r="I62" s="132">
        <f>$C$62/12</f>
        <v>-912.41666666666663</v>
      </c>
      <c r="J62" s="132">
        <f>$C$62/12</f>
        <v>-912.41666666666663</v>
      </c>
      <c r="K62" s="132">
        <f>$C$62/12</f>
        <v>-912.41666666666663</v>
      </c>
      <c r="L62" s="132">
        <f>$C$62/12</f>
        <v>-912.41666666666663</v>
      </c>
      <c r="M62" s="132">
        <f>$C$62/12</f>
        <v>-912.41666666666663</v>
      </c>
      <c r="N62" s="132">
        <f>$C$62/12</f>
        <v>-912.41666666666663</v>
      </c>
      <c r="O62" s="132">
        <f>$C$62/12</f>
        <v>-912.41666666666663</v>
      </c>
      <c r="P62" s="1"/>
      <c r="Q62" s="1"/>
      <c r="R62" s="1"/>
      <c r="S62" s="1"/>
    </row>
    <row r="63" spans="1:19" ht="15.75" thickBot="1" x14ac:dyDescent="0.3">
      <c r="A63" s="1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s="135" customFormat="1" x14ac:dyDescent="0.25">
      <c r="A64" s="6" t="s">
        <v>37</v>
      </c>
      <c r="B64" s="3" t="s">
        <v>38</v>
      </c>
      <c r="C64" s="133">
        <f>SUM(C59:C63)</f>
        <v>244051</v>
      </c>
      <c r="D64" s="133">
        <f>SUM(D59:D63)</f>
        <v>-912.41666666666663</v>
      </c>
      <c r="E64" s="133">
        <f>SUM(E59:E63)</f>
        <v>-912.41666666666663</v>
      </c>
      <c r="F64" s="133">
        <f>SUM(F59:F63)</f>
        <v>-912.41666666666663</v>
      </c>
      <c r="G64" s="133">
        <f>SUM(G59:G63)</f>
        <v>154087.58333333334</v>
      </c>
      <c r="H64" s="133">
        <f>SUM(H59:H63)</f>
        <v>49087.583333333336</v>
      </c>
      <c r="I64" s="133">
        <f>SUM(I59:I63)</f>
        <v>29087.583333333332</v>
      </c>
      <c r="J64" s="133">
        <f>SUM(J59:J63)</f>
        <v>19087.583333333332</v>
      </c>
      <c r="K64" s="133">
        <f>SUM(K59:K63)</f>
        <v>-912.41666666666663</v>
      </c>
      <c r="L64" s="133">
        <f>SUM(L59:L63)</f>
        <v>-912.41666666666663</v>
      </c>
      <c r="M64" s="133">
        <f>SUM(M59:M63)</f>
        <v>-912.41666666666663</v>
      </c>
      <c r="N64" s="133">
        <f>SUM(N59:N63)</f>
        <v>-912.41666666666663</v>
      </c>
      <c r="O64" s="133">
        <f>SUM(O59:O63)</f>
        <v>-912.41666666666663</v>
      </c>
      <c r="P64" s="133">
        <f ca="1">SUM(P59:P135)</f>
        <v>0</v>
      </c>
      <c r="Q64" s="133"/>
      <c r="R64" s="133">
        <v>1579.81</v>
      </c>
      <c r="S64" s="133">
        <v>0</v>
      </c>
    </row>
    <row r="65" spans="1:21" ht="15.75" thickBot="1" x14ac:dyDescent="0.3">
      <c r="A65" s="1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21" s="135" customFormat="1" x14ac:dyDescent="0.25">
      <c r="A66" s="6" t="s">
        <v>39</v>
      </c>
      <c r="B66" s="3" t="s">
        <v>40</v>
      </c>
      <c r="C66" s="133">
        <f>SUM(C64,C56,C21)</f>
        <v>702522</v>
      </c>
      <c r="D66" s="133">
        <f>SUM(D64,D56,D21)</f>
        <v>33154.583333333336</v>
      </c>
      <c r="E66" s="133">
        <f>SUM(E64,E56,E21)</f>
        <v>33154.583333333336</v>
      </c>
      <c r="F66" s="133">
        <f>SUM(F64,F56,F21)</f>
        <v>33154.583333333336</v>
      </c>
      <c r="G66" s="133">
        <f>SUM(G64,G56,G21)</f>
        <v>188154.58333333334</v>
      </c>
      <c r="H66" s="133">
        <f>SUM(H64,H56,H21)</f>
        <v>84694.583333333343</v>
      </c>
      <c r="I66" s="133">
        <f>SUM(I64,I56,I21)</f>
        <v>66567.583333333328</v>
      </c>
      <c r="J66" s="133">
        <f>SUM(J64,J56,J21)</f>
        <v>57917.583333333328</v>
      </c>
      <c r="K66" s="133">
        <f>SUM(K64,K56,K21)</f>
        <v>37917.583333333336</v>
      </c>
      <c r="L66" s="133">
        <f>SUM(L64,L56,L21)</f>
        <v>39384.583333333336</v>
      </c>
      <c r="M66" s="133">
        <f>SUM(M64,M56,M21)</f>
        <v>40851.583333333336</v>
      </c>
      <c r="N66" s="133">
        <f>SUM(N64,N56,N21)</f>
        <v>43784.583333333336</v>
      </c>
      <c r="O66" s="133">
        <f>SUM(O64,O56,O21)</f>
        <v>43784.583333333336</v>
      </c>
      <c r="P66" s="133">
        <f ca="1">SUM(P64,P56,P21)</f>
        <v>104319.81</v>
      </c>
      <c r="Q66" s="133"/>
      <c r="R66" s="133">
        <v>268525.82</v>
      </c>
      <c r="S66" s="133">
        <v>0</v>
      </c>
    </row>
    <row r="67" spans="1:21" x14ac:dyDescent="0.25">
      <c r="A67" s="1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21" x14ac:dyDescent="0.25">
      <c r="A68" s="1" t="s">
        <v>41</v>
      </c>
      <c r="B68" s="5" t="s">
        <v>42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21" x14ac:dyDescent="0.25">
      <c r="A69" s="1" t="s">
        <v>43</v>
      </c>
      <c r="B69" s="5" t="s">
        <v>44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U69" s="1"/>
    </row>
    <row r="70" spans="1:21" x14ac:dyDescent="0.25">
      <c r="A70" s="1" t="s">
        <v>234</v>
      </c>
      <c r="B70" s="5" t="s">
        <v>233</v>
      </c>
      <c r="C70" s="4">
        <f>ROUND(SUM(D70:O70),0)</f>
        <v>5279</v>
      </c>
      <c r="D70" s="60">
        <f>'Op Budget 2016'!E15</f>
        <v>0</v>
      </c>
      <c r="E70" s="60">
        <f>'Op Budget 2016'!F15</f>
        <v>0</v>
      </c>
      <c r="F70" s="60">
        <f>'Op Budget 2016'!G15</f>
        <v>0</v>
      </c>
      <c r="G70" s="60">
        <f>'Op Budget 2016'!H15</f>
        <v>597</v>
      </c>
      <c r="H70" s="60">
        <f>'Op Budget 2016'!I15</f>
        <v>597</v>
      </c>
      <c r="I70" s="60">
        <f>'Op Budget 2016'!J15</f>
        <v>597</v>
      </c>
      <c r="J70" s="60">
        <f>'Op Budget 2016'!K15</f>
        <v>597</v>
      </c>
      <c r="K70" s="60">
        <f>'Op Budget 2016'!L15</f>
        <v>597</v>
      </c>
      <c r="L70" s="60">
        <f>'Op Budget 2016'!M15</f>
        <v>597</v>
      </c>
      <c r="M70" s="60">
        <f>'Op Budget 2016'!N15</f>
        <v>597</v>
      </c>
      <c r="N70" s="60">
        <f>'Op Budget 2016'!O15</f>
        <v>550</v>
      </c>
      <c r="O70" s="60">
        <f>'Op Budget 2016'!P15</f>
        <v>550</v>
      </c>
      <c r="P70" s="4">
        <f>_xlfn.IFNA(VLOOKUP(A70,cf!$A$10:$D$93,4,FALSE),)</f>
        <v>240.75</v>
      </c>
      <c r="Q70" s="9"/>
      <c r="R70" s="9">
        <v>0</v>
      </c>
      <c r="S70" s="9">
        <v>0</v>
      </c>
      <c r="U70" s="1"/>
    </row>
    <row r="71" spans="1:21" x14ac:dyDescent="0.25">
      <c r="A71" s="1" t="s">
        <v>45</v>
      </c>
      <c r="B71" s="5" t="s">
        <v>46</v>
      </c>
      <c r="C71" s="4">
        <f t="shared" ref="C71:C80" si="10">ROUND(SUM(D71:O71),0)</f>
        <v>3654</v>
      </c>
      <c r="D71" s="60">
        <f>'Op Budget 2016'!E16</f>
        <v>304.46999999999997</v>
      </c>
      <c r="E71" s="60">
        <f>'Op Budget 2016'!F16</f>
        <v>304.46999999999997</v>
      </c>
      <c r="F71" s="60">
        <f>'Op Budget 2016'!G16</f>
        <v>304.46999999999997</v>
      </c>
      <c r="G71" s="60">
        <f>'Op Budget 2016'!H16</f>
        <v>304.46999999999997</v>
      </c>
      <c r="H71" s="60">
        <f>'Op Budget 2016'!I16</f>
        <v>304.46999999999997</v>
      </c>
      <c r="I71" s="60">
        <f>'Op Budget 2016'!J16</f>
        <v>304.46999999999997</v>
      </c>
      <c r="J71" s="60">
        <f>'Op Budget 2016'!K16</f>
        <v>304.46999999999997</v>
      </c>
      <c r="K71" s="60">
        <f>'Op Budget 2016'!L16</f>
        <v>304.46999999999997</v>
      </c>
      <c r="L71" s="60">
        <f>'Op Budget 2016'!M16</f>
        <v>304.46999999999997</v>
      </c>
      <c r="M71" s="60">
        <f>'Op Budget 2016'!N16</f>
        <v>304.46999999999997</v>
      </c>
      <c r="N71" s="60">
        <f>'Op Budget 2016'!O16</f>
        <v>304.46999999999997</v>
      </c>
      <c r="O71" s="60">
        <f>'Op Budget 2016'!P16</f>
        <v>304.46999999999997</v>
      </c>
      <c r="P71" s="4">
        <f>_xlfn.IFNA(VLOOKUP(A71,cf!$A$10:$D$93,4,FALSE),)</f>
        <v>0</v>
      </c>
      <c r="Q71" s="4"/>
      <c r="R71" s="4">
        <v>1583.6</v>
      </c>
      <c r="S71" s="4">
        <v>0</v>
      </c>
      <c r="U71" s="1"/>
    </row>
    <row r="72" spans="1:21" x14ac:dyDescent="0.25">
      <c r="A72" s="1" t="s">
        <v>47</v>
      </c>
      <c r="B72" s="5" t="s">
        <v>48</v>
      </c>
      <c r="C72" s="4">
        <f t="shared" si="10"/>
        <v>3624</v>
      </c>
      <c r="D72" s="60">
        <f>'Op Budget 2016'!E17</f>
        <v>500</v>
      </c>
      <c r="E72" s="60">
        <f>'Op Budget 2016'!F17</f>
        <v>500</v>
      </c>
      <c r="F72" s="60">
        <f>'Op Budget 2016'!G17</f>
        <v>500</v>
      </c>
      <c r="G72" s="60">
        <f>'Op Budget 2016'!H17</f>
        <v>500</v>
      </c>
      <c r="H72" s="60">
        <f>'Op Budget 2016'!I17</f>
        <v>203</v>
      </c>
      <c r="I72" s="60">
        <f>'Op Budget 2016'!J17</f>
        <v>203</v>
      </c>
      <c r="J72" s="60">
        <f>'Op Budget 2016'!K17</f>
        <v>203</v>
      </c>
      <c r="K72" s="60">
        <f>'Op Budget 2016'!L17</f>
        <v>203</v>
      </c>
      <c r="L72" s="60">
        <f>'Op Budget 2016'!M17</f>
        <v>203</v>
      </c>
      <c r="M72" s="60">
        <f>'Op Budget 2016'!N17</f>
        <v>203</v>
      </c>
      <c r="N72" s="60">
        <f>'Op Budget 2016'!O17</f>
        <v>203</v>
      </c>
      <c r="O72" s="60">
        <f>'Op Budget 2016'!P17</f>
        <v>203</v>
      </c>
      <c r="P72" s="4">
        <f>_xlfn.IFNA(VLOOKUP(A72,cf!$A$10:$D$93,4,FALSE),)</f>
        <v>0</v>
      </c>
      <c r="Q72" s="4"/>
      <c r="R72" s="4">
        <v>160.5</v>
      </c>
      <c r="S72" s="4">
        <v>0</v>
      </c>
      <c r="U72" s="1"/>
    </row>
    <row r="73" spans="1:21" x14ac:dyDescent="0.25">
      <c r="A73" s="1" t="s">
        <v>263</v>
      </c>
      <c r="B73" s="5" t="s">
        <v>432</v>
      </c>
      <c r="C73" s="4">
        <f t="shared" si="10"/>
        <v>5566</v>
      </c>
      <c r="D73" s="60">
        <f>'Op Budget 2016'!E20</f>
        <v>463.80929999999995</v>
      </c>
      <c r="E73" s="60">
        <f>'Op Budget 2016'!F20</f>
        <v>463.80929999999995</v>
      </c>
      <c r="F73" s="60">
        <f>'Op Budget 2016'!G20</f>
        <v>463.80929999999995</v>
      </c>
      <c r="G73" s="60">
        <f>'Op Budget 2016'!H20</f>
        <v>463.80929999999995</v>
      </c>
      <c r="H73" s="60">
        <f>'Op Budget 2016'!I20</f>
        <v>463.80929999999995</v>
      </c>
      <c r="I73" s="60">
        <f>'Op Budget 2016'!J20</f>
        <v>463.80929999999995</v>
      </c>
      <c r="J73" s="60">
        <f>'Op Budget 2016'!K20</f>
        <v>463.80929999999995</v>
      </c>
      <c r="K73" s="60">
        <f>'Op Budget 2016'!L20</f>
        <v>463.80929999999995</v>
      </c>
      <c r="L73" s="60">
        <f>'Op Budget 2016'!M20</f>
        <v>463.80929999999995</v>
      </c>
      <c r="M73" s="60">
        <f>'Op Budget 2016'!N20</f>
        <v>463.80929999999995</v>
      </c>
      <c r="N73" s="60">
        <f>'Op Budget 2016'!O20</f>
        <v>463.80929999999995</v>
      </c>
      <c r="O73" s="60">
        <f>'Op Budget 2016'!P20</f>
        <v>463.80929999999995</v>
      </c>
      <c r="P73" s="4"/>
      <c r="Q73" s="4"/>
      <c r="R73" s="4"/>
      <c r="S73" s="4"/>
      <c r="U73" s="1"/>
    </row>
    <row r="74" spans="1:21" x14ac:dyDescent="0.25">
      <c r="A74" s="1" t="s">
        <v>49</v>
      </c>
      <c r="B74" s="5" t="s">
        <v>50</v>
      </c>
      <c r="C74" s="4">
        <f t="shared" si="10"/>
        <v>3070</v>
      </c>
      <c r="D74" s="60">
        <f>'Op Budget 2016'!E21</f>
        <v>1070</v>
      </c>
      <c r="E74" s="60">
        <f>'Op Budget 2016'!F21</f>
        <v>0</v>
      </c>
      <c r="F74" s="60">
        <f>'Op Budget 2016'!G21</f>
        <v>0</v>
      </c>
      <c r="G74" s="60">
        <f>'Op Budget 2016'!H21</f>
        <v>0</v>
      </c>
      <c r="H74" s="60">
        <f>'Op Budget 2016'!I21</f>
        <v>0</v>
      </c>
      <c r="I74" s="60">
        <f>'Op Budget 2016'!J21</f>
        <v>0</v>
      </c>
      <c r="J74" s="60">
        <f>'Op Budget 2016'!K21</f>
        <v>0</v>
      </c>
      <c r="K74" s="60">
        <f>'Op Budget 2016'!L21</f>
        <v>0</v>
      </c>
      <c r="L74" s="60">
        <f>'Op Budget 2016'!M21</f>
        <v>0</v>
      </c>
      <c r="M74" s="60">
        <f>'Op Budget 2016'!N21</f>
        <v>0</v>
      </c>
      <c r="N74" s="60">
        <f>'Op Budget 2016'!O21</f>
        <v>1000</v>
      </c>
      <c r="O74" s="60">
        <f>'Op Budget 2016'!P21</f>
        <v>1000</v>
      </c>
      <c r="P74" s="4">
        <f>_xlfn.IFNA(VLOOKUP(A74,cf!$A$10:$D$93,4,FALSE),)</f>
        <v>4280</v>
      </c>
      <c r="Q74" s="4"/>
      <c r="R74" s="4">
        <v>6981.2</v>
      </c>
      <c r="S74" s="4">
        <v>0</v>
      </c>
      <c r="U74" s="1"/>
    </row>
    <row r="75" spans="1:21" x14ac:dyDescent="0.25">
      <c r="A75" s="1" t="s">
        <v>232</v>
      </c>
      <c r="B75" s="5" t="s">
        <v>231</v>
      </c>
      <c r="C75" s="4">
        <f t="shared" si="10"/>
        <v>0</v>
      </c>
      <c r="D75" s="60">
        <f>'Op Budget 2016'!E24</f>
        <v>0</v>
      </c>
      <c r="E75" s="60">
        <f>'Op Budget 2016'!F24</f>
        <v>0</v>
      </c>
      <c r="F75" s="60">
        <f>'Op Budget 2016'!G24</f>
        <v>0</v>
      </c>
      <c r="G75" s="60">
        <f>'Op Budget 2016'!H24</f>
        <v>0</v>
      </c>
      <c r="H75" s="60">
        <f>'Op Budget 2016'!I24</f>
        <v>0</v>
      </c>
      <c r="I75" s="60">
        <f>'Op Budget 2016'!J24</f>
        <v>0</v>
      </c>
      <c r="J75" s="60">
        <f>'Op Budget 2016'!K24</f>
        <v>0</v>
      </c>
      <c r="K75" s="60">
        <f>'Op Budget 2016'!L24</f>
        <v>0</v>
      </c>
      <c r="L75" s="60">
        <f>'Op Budget 2016'!M24</f>
        <v>0</v>
      </c>
      <c r="M75" s="60">
        <f>'Op Budget 2016'!N24</f>
        <v>0</v>
      </c>
      <c r="N75" s="60">
        <f>'Op Budget 2016'!O24</f>
        <v>0</v>
      </c>
      <c r="O75" s="60">
        <f>'Op Budget 2016'!P24</f>
        <v>0</v>
      </c>
      <c r="P75" s="4">
        <f>_xlfn.IFNA(VLOOKUP(A75,cf!$A$10:$D$93,4,FALSE),)</f>
        <v>22.61</v>
      </c>
      <c r="Q75" s="4"/>
      <c r="R75" s="4">
        <v>0</v>
      </c>
      <c r="S75" s="4">
        <v>0</v>
      </c>
      <c r="U75" s="1"/>
    </row>
    <row r="76" spans="1:21" x14ac:dyDescent="0.25">
      <c r="A76" s="1" t="s">
        <v>51</v>
      </c>
      <c r="B76" s="5" t="s">
        <v>52</v>
      </c>
      <c r="C76" s="4">
        <f t="shared" si="10"/>
        <v>920</v>
      </c>
      <c r="D76" s="60">
        <f>'Op Budget 2016'!E25</f>
        <v>0</v>
      </c>
      <c r="E76" s="60">
        <f>'Op Budget 2016'!F25</f>
        <v>0</v>
      </c>
      <c r="F76" s="60">
        <f>'Op Budget 2016'!G25</f>
        <v>0</v>
      </c>
      <c r="G76" s="60">
        <f>'Op Budget 2016'!H25</f>
        <v>420</v>
      </c>
      <c r="H76" s="60">
        <f>'Op Budget 2016'!I25</f>
        <v>500</v>
      </c>
      <c r="I76" s="60">
        <f>'Op Budget 2016'!J25</f>
        <v>0</v>
      </c>
      <c r="J76" s="60">
        <f>'Op Budget 2016'!K25</f>
        <v>0</v>
      </c>
      <c r="K76" s="60">
        <f>'Op Budget 2016'!L25</f>
        <v>0</v>
      </c>
      <c r="L76" s="60">
        <f>'Op Budget 2016'!M25</f>
        <v>0</v>
      </c>
      <c r="M76" s="60">
        <f>'Op Budget 2016'!N25</f>
        <v>0</v>
      </c>
      <c r="N76" s="60">
        <f>'Op Budget 2016'!O25</f>
        <v>0</v>
      </c>
      <c r="O76" s="60">
        <f>'Op Budget 2016'!P25</f>
        <v>0</v>
      </c>
      <c r="P76" s="4">
        <f>_xlfn.IFNA(VLOOKUP(A76,cf!$A$10:$D$93,4,FALSE),)</f>
        <v>0</v>
      </c>
      <c r="Q76" s="4"/>
      <c r="R76" s="4">
        <v>1093.5999999999999</v>
      </c>
      <c r="S76" s="4">
        <v>0</v>
      </c>
      <c r="U76" s="1"/>
    </row>
    <row r="77" spans="1:21" x14ac:dyDescent="0.25">
      <c r="A77" s="1" t="s">
        <v>53</v>
      </c>
      <c r="B77" s="5" t="s">
        <v>54</v>
      </c>
      <c r="C77" s="4">
        <f t="shared" si="10"/>
        <v>11800</v>
      </c>
      <c r="D77" s="60">
        <f>'Op Budget 2016'!E26</f>
        <v>0</v>
      </c>
      <c r="E77" s="60">
        <f>'Op Budget 2016'!F26</f>
        <v>0</v>
      </c>
      <c r="F77" s="60">
        <f>'Op Budget 2016'!G26</f>
        <v>0</v>
      </c>
      <c r="G77" s="60">
        <f>'Op Budget 2016'!H26</f>
        <v>2600</v>
      </c>
      <c r="H77" s="60">
        <f>'Op Budget 2016'!I26</f>
        <v>4200</v>
      </c>
      <c r="I77" s="60">
        <f>'Op Budget 2016'!J26</f>
        <v>0</v>
      </c>
      <c r="J77" s="60">
        <f>'Op Budget 2016'!K26</f>
        <v>0</v>
      </c>
      <c r="K77" s="60">
        <f>'Op Budget 2016'!L26</f>
        <v>2500</v>
      </c>
      <c r="L77" s="60">
        <f>'Op Budget 2016'!M26</f>
        <v>0</v>
      </c>
      <c r="M77" s="60">
        <f>'Op Budget 2016'!N26</f>
        <v>0</v>
      </c>
      <c r="N77" s="60">
        <f>'Op Budget 2016'!O26</f>
        <v>2500</v>
      </c>
      <c r="O77" s="60">
        <f>'Op Budget 2016'!P26</f>
        <v>0</v>
      </c>
      <c r="P77" s="4">
        <f>_xlfn.IFNA(VLOOKUP(A77,cf!$A$10:$D$93,4,FALSE),)</f>
        <v>2450.0700000000002</v>
      </c>
      <c r="Q77" s="4"/>
      <c r="R77" s="4">
        <v>17403.189999999999</v>
      </c>
      <c r="S77" s="4">
        <v>0</v>
      </c>
    </row>
    <row r="78" spans="1:21" x14ac:dyDescent="0.25">
      <c r="A78" s="1" t="s">
        <v>55</v>
      </c>
      <c r="B78" s="5" t="s">
        <v>56</v>
      </c>
      <c r="C78" s="4">
        <f t="shared" si="10"/>
        <v>4800</v>
      </c>
      <c r="D78" s="60">
        <f>'Op Budget 2016'!E27</f>
        <v>400</v>
      </c>
      <c r="E78" s="60">
        <f>'Op Budget 2016'!F27</f>
        <v>400</v>
      </c>
      <c r="F78" s="60">
        <f>'Op Budget 2016'!G27</f>
        <v>400</v>
      </c>
      <c r="G78" s="60">
        <f>'Op Budget 2016'!H27</f>
        <v>400</v>
      </c>
      <c r="H78" s="60">
        <f>'Op Budget 2016'!I27</f>
        <v>400</v>
      </c>
      <c r="I78" s="60">
        <f>'Op Budget 2016'!J27</f>
        <v>400</v>
      </c>
      <c r="J78" s="60">
        <f>'Op Budget 2016'!K27</f>
        <v>400</v>
      </c>
      <c r="K78" s="60">
        <f>'Op Budget 2016'!L27</f>
        <v>400</v>
      </c>
      <c r="L78" s="60">
        <f>'Op Budget 2016'!M27</f>
        <v>400</v>
      </c>
      <c r="M78" s="60">
        <f>'Op Budget 2016'!N27</f>
        <v>400</v>
      </c>
      <c r="N78" s="60">
        <f>'Op Budget 2016'!O27</f>
        <v>400</v>
      </c>
      <c r="O78" s="60">
        <f>'Op Budget 2016'!P27</f>
        <v>400</v>
      </c>
      <c r="P78" s="4">
        <f>_xlfn.IFNA(VLOOKUP(A78,cf!$A$10:$D$93,4,FALSE),)</f>
        <v>1460.72</v>
      </c>
      <c r="Q78" s="4"/>
      <c r="R78" s="4">
        <v>16309.83</v>
      </c>
      <c r="S78" s="4">
        <v>0</v>
      </c>
    </row>
    <row r="79" spans="1:21" x14ac:dyDescent="0.25">
      <c r="A79" s="1" t="s">
        <v>57</v>
      </c>
      <c r="B79" s="5" t="s">
        <v>58</v>
      </c>
      <c r="C79" s="4">
        <f t="shared" si="10"/>
        <v>0</v>
      </c>
      <c r="D79" s="60">
        <f>'Op Budget 2016'!E28</f>
        <v>0</v>
      </c>
      <c r="E79" s="60">
        <f>'Op Budget 2016'!F28</f>
        <v>0</v>
      </c>
      <c r="F79" s="60">
        <f>'Op Budget 2016'!G28</f>
        <v>0</v>
      </c>
      <c r="G79" s="60">
        <f>'Op Budget 2016'!H28</f>
        <v>0</v>
      </c>
      <c r="H79" s="60">
        <f>'Op Budget 2016'!I28</f>
        <v>0</v>
      </c>
      <c r="I79" s="60">
        <f>'Op Budget 2016'!J28</f>
        <v>0</v>
      </c>
      <c r="J79" s="60">
        <f>'Op Budget 2016'!K28</f>
        <v>0</v>
      </c>
      <c r="K79" s="60">
        <f>'Op Budget 2016'!L28</f>
        <v>0</v>
      </c>
      <c r="L79" s="60">
        <f>'Op Budget 2016'!M28</f>
        <v>0</v>
      </c>
      <c r="M79" s="60">
        <f>'Op Budget 2016'!N28</f>
        <v>0</v>
      </c>
      <c r="N79" s="60">
        <f>'Op Budget 2016'!O28</f>
        <v>0</v>
      </c>
      <c r="O79" s="60">
        <f>'Op Budget 2016'!P28</f>
        <v>0</v>
      </c>
      <c r="P79" s="4">
        <f>_xlfn.IFNA(VLOOKUP(A79,cf!$A$10:$D$93,4,FALSE),)</f>
        <v>1252.0899999999999</v>
      </c>
      <c r="Q79" s="4"/>
      <c r="R79" s="4">
        <v>3830.11</v>
      </c>
      <c r="S79" s="4">
        <v>0</v>
      </c>
    </row>
    <row r="80" spans="1:21" ht="15.75" thickBot="1" x14ac:dyDescent="0.3">
      <c r="A80" s="1" t="s">
        <v>271</v>
      </c>
      <c r="B80" s="5" t="s">
        <v>431</v>
      </c>
      <c r="C80" s="4">
        <f t="shared" si="10"/>
        <v>22924</v>
      </c>
      <c r="D80" s="9">
        <f>'Op Budget 2016'!E29</f>
        <v>1703.3500000000001</v>
      </c>
      <c r="E80" s="9">
        <f>'Op Budget 2016'!F29</f>
        <v>1703.3500000000001</v>
      </c>
      <c r="F80" s="9">
        <f>'Op Budget 2016'!G29</f>
        <v>1703.3500000000001</v>
      </c>
      <c r="G80" s="9">
        <f>'Op Budget 2016'!H29</f>
        <v>1703.3500000000001</v>
      </c>
      <c r="H80" s="9">
        <f>'Op Budget 2016'!I29</f>
        <v>1780.4177419354842</v>
      </c>
      <c r="I80" s="9">
        <f>'Op Budget 2016'!J29</f>
        <v>1874</v>
      </c>
      <c r="J80" s="9">
        <f>'Op Budget 2016'!K29</f>
        <v>1941.5</v>
      </c>
      <c r="K80" s="9">
        <f>'Op Budget 2016'!L29</f>
        <v>1941.5</v>
      </c>
      <c r="L80" s="9">
        <f>'Op Budget 2016'!M29</f>
        <v>2014.8375000000001</v>
      </c>
      <c r="M80" s="9">
        <f>'Op Budget 2016'!N29</f>
        <v>2088.1750000000002</v>
      </c>
      <c r="N80" s="9">
        <f>'Op Budget 2016'!O29</f>
        <v>2234.85</v>
      </c>
      <c r="O80" s="9">
        <v>2234.85</v>
      </c>
      <c r="P80" s="4"/>
      <c r="Q80" s="4"/>
      <c r="R80" s="4"/>
      <c r="S80" s="4"/>
    </row>
    <row r="81" spans="1:21" x14ac:dyDescent="0.25">
      <c r="A81" s="1" t="s">
        <v>59</v>
      </c>
      <c r="B81" s="5" t="s">
        <v>60</v>
      </c>
      <c r="C81" s="133">
        <f>ROUND(SUM(C70:C80),0)</f>
        <v>61637</v>
      </c>
      <c r="D81" s="133">
        <f>ROUND(SUM(D70:D80),0)</f>
        <v>4442</v>
      </c>
      <c r="E81" s="133">
        <f t="shared" ref="E81:O81" si="11">ROUND(SUM(E70:E80),0)</f>
        <v>3372</v>
      </c>
      <c r="F81" s="133">
        <f t="shared" si="11"/>
        <v>3372</v>
      </c>
      <c r="G81" s="133">
        <f t="shared" si="11"/>
        <v>6989</v>
      </c>
      <c r="H81" s="133">
        <f t="shared" si="11"/>
        <v>8449</v>
      </c>
      <c r="I81" s="133">
        <f t="shared" si="11"/>
        <v>3842</v>
      </c>
      <c r="J81" s="133">
        <f t="shared" si="11"/>
        <v>3910</v>
      </c>
      <c r="K81" s="133">
        <f t="shared" si="11"/>
        <v>6410</v>
      </c>
      <c r="L81" s="133">
        <f t="shared" si="11"/>
        <v>3983</v>
      </c>
      <c r="M81" s="133">
        <f t="shared" si="11"/>
        <v>4056</v>
      </c>
      <c r="N81" s="133">
        <f t="shared" si="11"/>
        <v>7656</v>
      </c>
      <c r="O81" s="133">
        <f t="shared" si="11"/>
        <v>5156</v>
      </c>
      <c r="P81" s="8">
        <f>SUM(P70:P79)</f>
        <v>9706.24</v>
      </c>
      <c r="Q81" s="8"/>
      <c r="R81" s="8">
        <v>47362.03</v>
      </c>
      <c r="S81" s="8">
        <v>0</v>
      </c>
    </row>
    <row r="82" spans="1:21" x14ac:dyDescent="0.25">
      <c r="A82" s="1"/>
      <c r="B82" s="5"/>
      <c r="C82" s="1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4"/>
      <c r="Q82" s="14"/>
      <c r="R82" s="14"/>
      <c r="S82" s="14"/>
    </row>
    <row r="83" spans="1:21" x14ac:dyDescent="0.25">
      <c r="A83" s="1" t="s">
        <v>61</v>
      </c>
      <c r="B83" s="5" t="s">
        <v>62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21" x14ac:dyDescent="0.25">
      <c r="A84" s="1" t="s">
        <v>63</v>
      </c>
      <c r="B84" s="5" t="s">
        <v>64</v>
      </c>
      <c r="C84" s="4">
        <f>_xlfn.IFNA(VLOOKUP(A84,'Op Budget 2016'!$C$15:$Q$53,15,FALSE),)</f>
        <v>2435.7599999999998</v>
      </c>
      <c r="D84" s="60">
        <f>$C$84/12</f>
        <v>202.98</v>
      </c>
      <c r="E84" s="60">
        <f t="shared" ref="E84:O84" si="12">$C$84/12</f>
        <v>202.98</v>
      </c>
      <c r="F84" s="60">
        <f t="shared" si="12"/>
        <v>202.98</v>
      </c>
      <c r="G84" s="60">
        <f t="shared" si="12"/>
        <v>202.98</v>
      </c>
      <c r="H84" s="60">
        <f t="shared" si="12"/>
        <v>202.98</v>
      </c>
      <c r="I84" s="60">
        <f t="shared" si="12"/>
        <v>202.98</v>
      </c>
      <c r="J84" s="60">
        <f t="shared" si="12"/>
        <v>202.98</v>
      </c>
      <c r="K84" s="60">
        <f t="shared" si="12"/>
        <v>202.98</v>
      </c>
      <c r="L84" s="60">
        <f t="shared" si="12"/>
        <v>202.98</v>
      </c>
      <c r="M84" s="60">
        <f t="shared" si="12"/>
        <v>202.98</v>
      </c>
      <c r="N84" s="60">
        <f t="shared" si="12"/>
        <v>202.98</v>
      </c>
      <c r="O84" s="60">
        <f t="shared" si="12"/>
        <v>202.98</v>
      </c>
      <c r="P84" s="4">
        <f>_xlfn.IFNA(VLOOKUP(A84,cf!$A$10:$D$93,4,FALSE),)</f>
        <v>0</v>
      </c>
      <c r="Q84" s="4"/>
      <c r="R84" s="4">
        <v>810</v>
      </c>
      <c r="S84" s="4">
        <v>0</v>
      </c>
    </row>
    <row r="85" spans="1:21" x14ac:dyDescent="0.25">
      <c r="A85" s="1" t="s">
        <v>65</v>
      </c>
      <c r="B85" s="5" t="s">
        <v>66</v>
      </c>
      <c r="C85" s="4">
        <f>_xlfn.IFNA(VLOOKUP(A85,'Op Budget 2016'!$C$15:$Q$53,15,FALSE),)</f>
        <v>0</v>
      </c>
      <c r="D85" s="60">
        <f>_xlfn.IFNA(VLOOKUP(B85,'Op Budget 2016'!$C$15:$Q$53,15,FALSE),)</f>
        <v>0</v>
      </c>
      <c r="E85" s="60">
        <f>_xlfn.IFNA(VLOOKUP(C85,'Op Budget 2016'!$C$15:$Q$53,15,FALSE),)</f>
        <v>0</v>
      </c>
      <c r="F85" s="60">
        <f>_xlfn.IFNA(VLOOKUP(D85,'Op Budget 2016'!$C$15:$Q$53,15,FALSE),)</f>
        <v>0</v>
      </c>
      <c r="G85" s="60">
        <f>_xlfn.IFNA(VLOOKUP(E85,'Op Budget 2016'!$C$15:$Q$53,15,FALSE),)</f>
        <v>0</v>
      </c>
      <c r="H85" s="60">
        <f>_xlfn.IFNA(VLOOKUP(F85,'Op Budget 2016'!$C$15:$Q$53,15,FALSE),)</f>
        <v>0</v>
      </c>
      <c r="I85" s="60">
        <f>_xlfn.IFNA(VLOOKUP(G85,'Op Budget 2016'!$C$15:$Q$53,15,FALSE),)</f>
        <v>0</v>
      </c>
      <c r="J85" s="60">
        <f>_xlfn.IFNA(VLOOKUP(H85,'Op Budget 2016'!$C$15:$Q$53,15,FALSE),)</f>
        <v>0</v>
      </c>
      <c r="K85" s="60">
        <f>_xlfn.IFNA(VLOOKUP(I85,'Op Budget 2016'!$C$15:$Q$53,15,FALSE),)</f>
        <v>0</v>
      </c>
      <c r="L85" s="60">
        <f>_xlfn.IFNA(VLOOKUP(J85,'Op Budget 2016'!$C$15:$Q$53,15,FALSE),)</f>
        <v>0</v>
      </c>
      <c r="M85" s="60">
        <f>_xlfn.IFNA(VLOOKUP(K85,'Op Budget 2016'!$C$15:$Q$53,15,FALSE),)</f>
        <v>0</v>
      </c>
      <c r="N85" s="60">
        <f>_xlfn.IFNA(VLOOKUP(L85,'Op Budget 2016'!$C$15:$Q$53,15,FALSE),)</f>
        <v>0</v>
      </c>
      <c r="O85" s="60">
        <f>_xlfn.IFNA(VLOOKUP(M85,'Op Budget 2016'!$C$15:$Q$53,15,FALSE),)</f>
        <v>0</v>
      </c>
      <c r="P85" s="4">
        <f>_xlfn.IFNA(VLOOKUP(A85,cf!$A$10:$D$93,4,FALSE),)</f>
        <v>0</v>
      </c>
      <c r="Q85" s="4"/>
      <c r="R85" s="4">
        <v>1500</v>
      </c>
      <c r="S85" s="4">
        <v>0</v>
      </c>
    </row>
    <row r="86" spans="1:21" x14ac:dyDescent="0.25">
      <c r="A86" s="1" t="s">
        <v>67</v>
      </c>
      <c r="B86" s="5" t="s">
        <v>68</v>
      </c>
      <c r="C86" s="4">
        <f>_xlfn.IFNA(VLOOKUP(A86,'Op Budget 2016'!$C$15:$Q$53,15,FALSE),)</f>
        <v>0</v>
      </c>
      <c r="D86" s="60">
        <f>_xlfn.IFNA(VLOOKUP(B86,'Op Budget 2016'!$C$15:$Q$53,15,FALSE),)</f>
        <v>0</v>
      </c>
      <c r="E86" s="60">
        <f>_xlfn.IFNA(VLOOKUP(C86,'Op Budget 2016'!$C$15:$Q$53,15,FALSE),)</f>
        <v>0</v>
      </c>
      <c r="F86" s="60">
        <f>_xlfn.IFNA(VLOOKUP(D86,'Op Budget 2016'!$C$15:$Q$53,15,FALSE),)</f>
        <v>0</v>
      </c>
      <c r="G86" s="60">
        <f>_xlfn.IFNA(VLOOKUP(E86,'Op Budget 2016'!$C$15:$Q$53,15,FALSE),)</f>
        <v>0</v>
      </c>
      <c r="H86" s="60">
        <f>_xlfn.IFNA(VLOOKUP(F86,'Op Budget 2016'!$C$15:$Q$53,15,FALSE),)</f>
        <v>0</v>
      </c>
      <c r="I86" s="60">
        <f>_xlfn.IFNA(VLOOKUP(G86,'Op Budget 2016'!$C$15:$Q$53,15,FALSE),)</f>
        <v>0</v>
      </c>
      <c r="J86" s="60">
        <f>_xlfn.IFNA(VLOOKUP(H86,'Op Budget 2016'!$C$15:$Q$53,15,FALSE),)</f>
        <v>0</v>
      </c>
      <c r="K86" s="60">
        <f>_xlfn.IFNA(VLOOKUP(I86,'Op Budget 2016'!$C$15:$Q$53,15,FALSE),)</f>
        <v>0</v>
      </c>
      <c r="L86" s="60">
        <f>_xlfn.IFNA(VLOOKUP(J86,'Op Budget 2016'!$C$15:$Q$53,15,FALSE),)</f>
        <v>0</v>
      </c>
      <c r="M86" s="60">
        <f>_xlfn.IFNA(VLOOKUP(K86,'Op Budget 2016'!$C$15:$Q$53,15,FALSE),)</f>
        <v>0</v>
      </c>
      <c r="N86" s="60">
        <f>_xlfn.IFNA(VLOOKUP(L86,'Op Budget 2016'!$C$15:$Q$53,15,FALSE),)</f>
        <v>0</v>
      </c>
      <c r="O86" s="60">
        <f>_xlfn.IFNA(VLOOKUP(M86,'Op Budget 2016'!$C$15:$Q$53,15,FALSE),)</f>
        <v>0</v>
      </c>
      <c r="P86" s="4">
        <f>_xlfn.IFNA(VLOOKUP(A86,cf!$A$10:$D$93,4,FALSE),)</f>
        <v>0</v>
      </c>
      <c r="Q86" s="4"/>
      <c r="R86" s="4">
        <v>6900</v>
      </c>
      <c r="S86" s="4">
        <v>0</v>
      </c>
    </row>
    <row r="87" spans="1:21" x14ac:dyDescent="0.25">
      <c r="A87" s="1" t="s">
        <v>69</v>
      </c>
      <c r="B87" s="5" t="s">
        <v>70</v>
      </c>
      <c r="C87" s="4">
        <f>_xlfn.IFNA(VLOOKUP(A87,'Op Budget 2016'!$C$15:$Q$53,15,FALSE),)</f>
        <v>0</v>
      </c>
      <c r="D87" s="60">
        <f>_xlfn.IFNA(VLOOKUP(B87,'Op Budget 2016'!$C$15:$Q$53,15,FALSE),)</f>
        <v>0</v>
      </c>
      <c r="E87" s="60">
        <f>_xlfn.IFNA(VLOOKUP(C87,'Op Budget 2016'!$C$15:$Q$53,15,FALSE),)</f>
        <v>0</v>
      </c>
      <c r="F87" s="60">
        <f>_xlfn.IFNA(VLOOKUP(D87,'Op Budget 2016'!$C$15:$Q$53,15,FALSE),)</f>
        <v>0</v>
      </c>
      <c r="G87" s="60">
        <f>_xlfn.IFNA(VLOOKUP(E87,'Op Budget 2016'!$C$15:$Q$53,15,FALSE),)</f>
        <v>0</v>
      </c>
      <c r="H87" s="60">
        <f>_xlfn.IFNA(VLOOKUP(F87,'Op Budget 2016'!$C$15:$Q$53,15,FALSE),)</f>
        <v>0</v>
      </c>
      <c r="I87" s="60">
        <f>_xlfn.IFNA(VLOOKUP(G87,'Op Budget 2016'!$C$15:$Q$53,15,FALSE),)</f>
        <v>0</v>
      </c>
      <c r="J87" s="60">
        <f>_xlfn.IFNA(VLOOKUP(H87,'Op Budget 2016'!$C$15:$Q$53,15,FALSE),)</f>
        <v>0</v>
      </c>
      <c r="K87" s="60">
        <f>_xlfn.IFNA(VLOOKUP(I87,'Op Budget 2016'!$C$15:$Q$53,15,FALSE),)</f>
        <v>0</v>
      </c>
      <c r="L87" s="60">
        <f>_xlfn.IFNA(VLOOKUP(J87,'Op Budget 2016'!$C$15:$Q$53,15,FALSE),)</f>
        <v>0</v>
      </c>
      <c r="M87" s="60">
        <f>_xlfn.IFNA(VLOOKUP(K87,'Op Budget 2016'!$C$15:$Q$53,15,FALSE),)</f>
        <v>0</v>
      </c>
      <c r="N87" s="60">
        <f>_xlfn.IFNA(VLOOKUP(L87,'Op Budget 2016'!$C$15:$Q$53,15,FALSE),)</f>
        <v>0</v>
      </c>
      <c r="O87" s="60">
        <f>_xlfn.IFNA(VLOOKUP(M87,'Op Budget 2016'!$C$15:$Q$53,15,FALSE),)</f>
        <v>0</v>
      </c>
      <c r="P87" s="4">
        <f>_xlfn.IFNA(VLOOKUP(A87,cf!$A$10:$D$93,4,FALSE),)</f>
        <v>0</v>
      </c>
      <c r="Q87" s="4"/>
      <c r="R87" s="4">
        <v>2029</v>
      </c>
      <c r="S87" s="4">
        <v>0</v>
      </c>
    </row>
    <row r="88" spans="1:21" x14ac:dyDescent="0.25">
      <c r="A88" s="1" t="s">
        <v>71</v>
      </c>
      <c r="B88" s="5" t="s">
        <v>72</v>
      </c>
      <c r="C88" s="4">
        <f>_xlfn.IFNA(VLOOKUP(A88,'Op Budget 2016'!$C$15:$Q$53,15,FALSE),)</f>
        <v>88655</v>
      </c>
      <c r="D88" s="60">
        <f>$C$88/4</f>
        <v>22163.75</v>
      </c>
      <c r="E88" s="60"/>
      <c r="F88" s="60"/>
      <c r="G88" s="60">
        <f>$C$88/4</f>
        <v>22163.75</v>
      </c>
      <c r="H88" s="60"/>
      <c r="I88" s="60"/>
      <c r="J88" s="60">
        <f>$C$88/4</f>
        <v>22163.75</v>
      </c>
      <c r="K88" s="60"/>
      <c r="L88" s="60"/>
      <c r="M88" s="60">
        <f>$C$88/4</f>
        <v>22163.75</v>
      </c>
      <c r="N88" s="60"/>
      <c r="O88" s="60"/>
      <c r="P88" s="4">
        <f>_xlfn.IFNA(VLOOKUP(A88,cf!$A$10:$D$93,4,FALSE),)</f>
        <v>0</v>
      </c>
      <c r="Q88" s="4"/>
      <c r="R88" s="4">
        <v>88655</v>
      </c>
      <c r="S88" s="4">
        <v>0</v>
      </c>
      <c r="U88" s="1"/>
    </row>
    <row r="89" spans="1:21" x14ac:dyDescent="0.25">
      <c r="A89" s="1" t="s">
        <v>73</v>
      </c>
      <c r="B89" s="5" t="s">
        <v>74</v>
      </c>
      <c r="C89" s="4">
        <f>_xlfn.IFNA(VLOOKUP(A89,'Op Budget 2016'!$C$15:$Q$53,15,FALSE),)</f>
        <v>2240</v>
      </c>
      <c r="D89" s="60">
        <v>0</v>
      </c>
      <c r="E89" s="60">
        <v>0</v>
      </c>
      <c r="F89" s="60">
        <v>300</v>
      </c>
      <c r="G89" s="60">
        <v>0</v>
      </c>
      <c r="H89" s="60">
        <v>0</v>
      </c>
      <c r="I89" s="60">
        <v>970</v>
      </c>
      <c r="J89" s="60">
        <v>0</v>
      </c>
      <c r="K89" s="60">
        <v>0</v>
      </c>
      <c r="L89" s="60">
        <v>970</v>
      </c>
      <c r="M89" s="60">
        <v>0</v>
      </c>
      <c r="N89" s="60">
        <v>0</v>
      </c>
      <c r="O89" s="60">
        <v>0</v>
      </c>
      <c r="P89" s="4">
        <f>_xlfn.IFNA(VLOOKUP(A89,cf!$A$10:$D$93,4,FALSE),)</f>
        <v>570</v>
      </c>
      <c r="Q89" s="4"/>
      <c r="R89" s="4">
        <v>0</v>
      </c>
      <c r="S89" s="4">
        <v>0</v>
      </c>
      <c r="U89" s="1"/>
    </row>
    <row r="90" spans="1:21" x14ac:dyDescent="0.25">
      <c r="A90" s="1" t="s">
        <v>75</v>
      </c>
      <c r="B90" s="5" t="s">
        <v>76</v>
      </c>
      <c r="C90" s="4">
        <f>_xlfn.IFNA(VLOOKUP(A90,'Op Budget 2016'!$C$15:$Q$53,15,FALSE),)</f>
        <v>0</v>
      </c>
      <c r="D90" s="60">
        <f>_xlfn.IFNA(VLOOKUP(B90,'Op Budget 2016'!$C$15:$Q$53,15,FALSE),)</f>
        <v>0</v>
      </c>
      <c r="E90" s="60">
        <f>_xlfn.IFNA(VLOOKUP(C90,'Op Budget 2016'!$C$15:$Q$53,15,FALSE),)</f>
        <v>0</v>
      </c>
      <c r="F90" s="60">
        <f>_xlfn.IFNA(VLOOKUP(D90,'Op Budget 2016'!$C$15:$Q$53,15,FALSE),)</f>
        <v>0</v>
      </c>
      <c r="G90" s="60">
        <f>_xlfn.IFNA(VLOOKUP(E90,'Op Budget 2016'!$C$15:$Q$53,15,FALSE),)</f>
        <v>0</v>
      </c>
      <c r="H90" s="60">
        <f>_xlfn.IFNA(VLOOKUP(F90,'Op Budget 2016'!$C$15:$Q$53,15,FALSE),)</f>
        <v>0</v>
      </c>
      <c r="I90" s="60">
        <f>_xlfn.IFNA(VLOOKUP(G90,'Op Budget 2016'!$C$15:$Q$53,15,FALSE),)</f>
        <v>0</v>
      </c>
      <c r="J90" s="60">
        <f>_xlfn.IFNA(VLOOKUP(H90,'Op Budget 2016'!$C$15:$Q$53,15,FALSE),)</f>
        <v>0</v>
      </c>
      <c r="K90" s="60">
        <f>_xlfn.IFNA(VLOOKUP(I90,'Op Budget 2016'!$C$15:$Q$53,15,FALSE),)</f>
        <v>0</v>
      </c>
      <c r="L90" s="60">
        <f>_xlfn.IFNA(VLOOKUP(J90,'Op Budget 2016'!$C$15:$Q$53,15,FALSE),)</f>
        <v>0</v>
      </c>
      <c r="M90" s="60">
        <f>_xlfn.IFNA(VLOOKUP(K90,'Op Budget 2016'!$C$15:$Q$53,15,FALSE),)</f>
        <v>0</v>
      </c>
      <c r="N90" s="60">
        <f>_xlfn.IFNA(VLOOKUP(L90,'Op Budget 2016'!$C$15:$Q$53,15,FALSE),)</f>
        <v>0</v>
      </c>
      <c r="O90" s="60">
        <f>_xlfn.IFNA(VLOOKUP(M90,'Op Budget 2016'!$C$15:$Q$53,15,FALSE),)</f>
        <v>0</v>
      </c>
      <c r="P90" s="4">
        <f>_xlfn.IFNA(VLOOKUP(A90,cf!$A$10:$D$93,4,FALSE),)</f>
        <v>0</v>
      </c>
      <c r="Q90" s="4"/>
      <c r="R90" s="4">
        <v>4245.47</v>
      </c>
      <c r="S90" s="4">
        <v>0</v>
      </c>
      <c r="U90" s="1"/>
    </row>
    <row r="91" spans="1:21" x14ac:dyDescent="0.25">
      <c r="A91" s="1" t="s">
        <v>230</v>
      </c>
      <c r="B91" s="5" t="s">
        <v>229</v>
      </c>
      <c r="C91" s="4">
        <f>_xlfn.IFNA(VLOOKUP(A91,'Op Budget 2016'!$C$15:$Q$53,15,FALSE),)</f>
        <v>0</v>
      </c>
      <c r="D91" s="60">
        <f>_xlfn.IFNA(VLOOKUP(B91,'Op Budget 2016'!$C$15:$Q$53,15,FALSE),)</f>
        <v>0</v>
      </c>
      <c r="E91" s="60">
        <f>_xlfn.IFNA(VLOOKUP(C91,'Op Budget 2016'!$C$15:$Q$53,15,FALSE),)</f>
        <v>0</v>
      </c>
      <c r="F91" s="60">
        <f>_xlfn.IFNA(VLOOKUP(D91,'Op Budget 2016'!$C$15:$Q$53,15,FALSE),)</f>
        <v>0</v>
      </c>
      <c r="G91" s="60">
        <f>_xlfn.IFNA(VLOOKUP(E91,'Op Budget 2016'!$C$15:$Q$53,15,FALSE),)</f>
        <v>0</v>
      </c>
      <c r="H91" s="60">
        <f>_xlfn.IFNA(VLOOKUP(F91,'Op Budget 2016'!$C$15:$Q$53,15,FALSE),)</f>
        <v>0</v>
      </c>
      <c r="I91" s="60">
        <f>_xlfn.IFNA(VLOOKUP(G91,'Op Budget 2016'!$C$15:$Q$53,15,FALSE),)</f>
        <v>0</v>
      </c>
      <c r="J91" s="60">
        <f>_xlfn.IFNA(VLOOKUP(H91,'Op Budget 2016'!$C$15:$Q$53,15,FALSE),)</f>
        <v>0</v>
      </c>
      <c r="K91" s="60">
        <f>_xlfn.IFNA(VLOOKUP(I91,'Op Budget 2016'!$C$15:$Q$53,15,FALSE),)</f>
        <v>0</v>
      </c>
      <c r="L91" s="60">
        <f>_xlfn.IFNA(VLOOKUP(J91,'Op Budget 2016'!$C$15:$Q$53,15,FALSE),)</f>
        <v>0</v>
      </c>
      <c r="M91" s="60">
        <f>_xlfn.IFNA(VLOOKUP(K91,'Op Budget 2016'!$C$15:$Q$53,15,FALSE),)</f>
        <v>0</v>
      </c>
      <c r="N91" s="60">
        <f>_xlfn.IFNA(VLOOKUP(L91,'Op Budget 2016'!$C$15:$Q$53,15,FALSE),)</f>
        <v>0</v>
      </c>
      <c r="O91" s="60">
        <f>_xlfn.IFNA(VLOOKUP(M91,'Op Budget 2016'!$C$15:$Q$53,15,FALSE),)</f>
        <v>0</v>
      </c>
      <c r="P91" s="4">
        <f>_xlfn.IFNA(VLOOKUP(A91,cf!$A$10:$D$93,4,FALSE),)</f>
        <v>-251.33</v>
      </c>
      <c r="Q91" s="4"/>
      <c r="R91" s="4">
        <v>0</v>
      </c>
      <c r="S91" s="4">
        <v>0</v>
      </c>
      <c r="U91" s="1"/>
    </row>
    <row r="92" spans="1:21" x14ac:dyDescent="0.25">
      <c r="A92" s="1" t="s">
        <v>77</v>
      </c>
      <c r="B92" s="5" t="s">
        <v>78</v>
      </c>
      <c r="C92" s="4">
        <f>_xlfn.IFNA(VLOOKUP(A92,'Op Budget 2016'!$C$15:$Q$53,15,FALSE),)</f>
        <v>0</v>
      </c>
      <c r="D92" s="60">
        <f>_xlfn.IFNA(VLOOKUP(B92,'Op Budget 2016'!$C$15:$Q$53,15,FALSE),)</f>
        <v>0</v>
      </c>
      <c r="E92" s="60">
        <f>_xlfn.IFNA(VLOOKUP(C92,'Op Budget 2016'!$C$15:$Q$53,15,FALSE),)</f>
        <v>0</v>
      </c>
      <c r="F92" s="60">
        <f>_xlfn.IFNA(VLOOKUP(D92,'Op Budget 2016'!$C$15:$Q$53,15,FALSE),)</f>
        <v>0</v>
      </c>
      <c r="G92" s="60">
        <f>_xlfn.IFNA(VLOOKUP(E92,'Op Budget 2016'!$C$15:$Q$53,15,FALSE),)</f>
        <v>0</v>
      </c>
      <c r="H92" s="60">
        <f>_xlfn.IFNA(VLOOKUP(F92,'Op Budget 2016'!$C$15:$Q$53,15,FALSE),)</f>
        <v>0</v>
      </c>
      <c r="I92" s="60">
        <f>_xlfn.IFNA(VLOOKUP(G92,'Op Budget 2016'!$C$15:$Q$53,15,FALSE),)</f>
        <v>0</v>
      </c>
      <c r="J92" s="60">
        <f>_xlfn.IFNA(VLOOKUP(H92,'Op Budget 2016'!$C$15:$Q$53,15,FALSE),)</f>
        <v>0</v>
      </c>
      <c r="K92" s="60">
        <f>_xlfn.IFNA(VLOOKUP(I92,'Op Budget 2016'!$C$15:$Q$53,15,FALSE),)</f>
        <v>0</v>
      </c>
      <c r="L92" s="60">
        <f>_xlfn.IFNA(VLOOKUP(J92,'Op Budget 2016'!$C$15:$Q$53,15,FALSE),)</f>
        <v>0</v>
      </c>
      <c r="M92" s="60">
        <f>_xlfn.IFNA(VLOOKUP(K92,'Op Budget 2016'!$C$15:$Q$53,15,FALSE),)</f>
        <v>0</v>
      </c>
      <c r="N92" s="60">
        <f>_xlfn.IFNA(VLOOKUP(L92,'Op Budget 2016'!$C$15:$Q$53,15,FALSE),)</f>
        <v>0</v>
      </c>
      <c r="O92" s="60">
        <f>_xlfn.IFNA(VLOOKUP(M92,'Op Budget 2016'!$C$15:$Q$53,15,FALSE),)</f>
        <v>0</v>
      </c>
      <c r="P92" s="4">
        <f>_xlfn.IFNA(VLOOKUP(A92,cf!$A$10:$D$93,4,FALSE),)</f>
        <v>0</v>
      </c>
      <c r="Q92" s="4"/>
      <c r="R92" s="4">
        <v>-9527.98</v>
      </c>
      <c r="S92" s="4">
        <v>0</v>
      </c>
      <c r="U92" s="1"/>
    </row>
    <row r="93" spans="1:21" x14ac:dyDescent="0.25">
      <c r="A93" s="1" t="s">
        <v>79</v>
      </c>
      <c r="B93" s="5" t="s">
        <v>80</v>
      </c>
      <c r="C93" s="4">
        <f>_xlfn.IFNA(VLOOKUP(A93,'Op Budget 2016'!$C$15:$Q$53,15,FALSE),)</f>
        <v>182.68199999999999</v>
      </c>
      <c r="D93" s="60">
        <f>$C$93/12</f>
        <v>15.2235</v>
      </c>
      <c r="E93" s="60">
        <f t="shared" ref="E93:O93" si="13">$C$93/12</f>
        <v>15.2235</v>
      </c>
      <c r="F93" s="60">
        <f t="shared" si="13"/>
        <v>15.2235</v>
      </c>
      <c r="G93" s="60">
        <f t="shared" si="13"/>
        <v>15.2235</v>
      </c>
      <c r="H93" s="60">
        <f t="shared" si="13"/>
        <v>15.2235</v>
      </c>
      <c r="I93" s="60">
        <f t="shared" si="13"/>
        <v>15.2235</v>
      </c>
      <c r="J93" s="60">
        <f t="shared" si="13"/>
        <v>15.2235</v>
      </c>
      <c r="K93" s="60">
        <f t="shared" si="13"/>
        <v>15.2235</v>
      </c>
      <c r="L93" s="60">
        <f t="shared" si="13"/>
        <v>15.2235</v>
      </c>
      <c r="M93" s="60">
        <f t="shared" si="13"/>
        <v>15.2235</v>
      </c>
      <c r="N93" s="60">
        <f t="shared" si="13"/>
        <v>15.2235</v>
      </c>
      <c r="O93" s="60">
        <f t="shared" si="13"/>
        <v>15.2235</v>
      </c>
      <c r="P93" s="4">
        <f>_xlfn.IFNA(VLOOKUP(A93,cf!$A$10:$D$93,4,FALSE),)</f>
        <v>42.49</v>
      </c>
      <c r="Q93" s="4"/>
      <c r="R93" s="4">
        <v>121.74</v>
      </c>
      <c r="S93" s="4">
        <v>0</v>
      </c>
      <c r="U93" s="1"/>
    </row>
    <row r="94" spans="1:21" x14ac:dyDescent="0.25">
      <c r="A94" s="1" t="s">
        <v>81</v>
      </c>
      <c r="B94" s="5" t="s">
        <v>82</v>
      </c>
      <c r="C94" s="4">
        <f>_xlfn.IFNA(VLOOKUP(A94,'Op Budget 2016'!$C$15:$Q$53,15,FALSE),)</f>
        <v>0</v>
      </c>
      <c r="D94" s="60">
        <f>_xlfn.IFNA(VLOOKUP(B94,'Op Budget 2016'!$C$15:$Q$53,15,FALSE),)</f>
        <v>0</v>
      </c>
      <c r="E94" s="60">
        <f>_xlfn.IFNA(VLOOKUP(C94,'Op Budget 2016'!$C$15:$Q$53,15,FALSE),)</f>
        <v>0</v>
      </c>
      <c r="F94" s="60">
        <f>_xlfn.IFNA(VLOOKUP(D94,'Op Budget 2016'!$C$15:$Q$53,15,FALSE),)</f>
        <v>0</v>
      </c>
      <c r="G94" s="60">
        <f>_xlfn.IFNA(VLOOKUP(E94,'Op Budget 2016'!$C$15:$Q$53,15,FALSE),)</f>
        <v>0</v>
      </c>
      <c r="H94" s="60">
        <f>_xlfn.IFNA(VLOOKUP(F94,'Op Budget 2016'!$C$15:$Q$53,15,FALSE),)</f>
        <v>0</v>
      </c>
      <c r="I94" s="60">
        <f>_xlfn.IFNA(VLOOKUP(G94,'Op Budget 2016'!$C$15:$Q$53,15,FALSE),)</f>
        <v>0</v>
      </c>
      <c r="J94" s="60">
        <f>_xlfn.IFNA(VLOOKUP(H94,'Op Budget 2016'!$C$15:$Q$53,15,FALSE),)</f>
        <v>0</v>
      </c>
      <c r="K94" s="60">
        <f>_xlfn.IFNA(VLOOKUP(I94,'Op Budget 2016'!$C$15:$Q$53,15,FALSE),)</f>
        <v>0</v>
      </c>
      <c r="L94" s="60">
        <f>_xlfn.IFNA(VLOOKUP(J94,'Op Budget 2016'!$C$15:$Q$53,15,FALSE),)</f>
        <v>0</v>
      </c>
      <c r="M94" s="60">
        <f>_xlfn.IFNA(VLOOKUP(K94,'Op Budget 2016'!$C$15:$Q$53,15,FALSE),)</f>
        <v>0</v>
      </c>
      <c r="N94" s="60">
        <f>_xlfn.IFNA(VLOOKUP(L94,'Op Budget 2016'!$C$15:$Q$53,15,FALSE),)</f>
        <v>0</v>
      </c>
      <c r="O94" s="60">
        <f>_xlfn.IFNA(VLOOKUP(M94,'Op Budget 2016'!$C$15:$Q$53,15,FALSE),)</f>
        <v>0</v>
      </c>
      <c r="P94" s="4">
        <f>_xlfn.IFNA(VLOOKUP(A94,cf!$A$10:$D$93,4,FALSE),)</f>
        <v>372.65</v>
      </c>
      <c r="Q94" s="4"/>
      <c r="R94" s="4">
        <v>1058.8900000000001</v>
      </c>
      <c r="S94" s="4">
        <v>0</v>
      </c>
      <c r="U94" s="1"/>
    </row>
    <row r="95" spans="1:21" x14ac:dyDescent="0.25">
      <c r="A95" s="1" t="s">
        <v>83</v>
      </c>
      <c r="B95" s="5" t="s">
        <v>84</v>
      </c>
      <c r="C95" s="4">
        <f>_xlfn.IFNA(VLOOKUP(A95,'Op Budget 2016'!$C$15:$Q$53,15,FALSE),)</f>
        <v>0</v>
      </c>
      <c r="D95" s="60">
        <f>_xlfn.IFNA(VLOOKUP(B95,'Op Budget 2016'!$C$15:$Q$53,15,FALSE),)</f>
        <v>0</v>
      </c>
      <c r="E95" s="60">
        <f>_xlfn.IFNA(VLOOKUP(C95,'Op Budget 2016'!$C$15:$Q$53,15,FALSE),)</f>
        <v>0</v>
      </c>
      <c r="F95" s="60">
        <f>_xlfn.IFNA(VLOOKUP(D95,'Op Budget 2016'!$C$15:$Q$53,15,FALSE),)</f>
        <v>0</v>
      </c>
      <c r="G95" s="60">
        <f>_xlfn.IFNA(VLOOKUP(E95,'Op Budget 2016'!$C$15:$Q$53,15,FALSE),)</f>
        <v>0</v>
      </c>
      <c r="H95" s="60">
        <f>_xlfn.IFNA(VLOOKUP(F95,'Op Budget 2016'!$C$15:$Q$53,15,FALSE),)</f>
        <v>0</v>
      </c>
      <c r="I95" s="60">
        <f>_xlfn.IFNA(VLOOKUP(G95,'Op Budget 2016'!$C$15:$Q$53,15,FALSE),)</f>
        <v>0</v>
      </c>
      <c r="J95" s="60">
        <f>_xlfn.IFNA(VLOOKUP(H95,'Op Budget 2016'!$C$15:$Q$53,15,FALSE),)</f>
        <v>0</v>
      </c>
      <c r="K95" s="60">
        <f>_xlfn.IFNA(VLOOKUP(I95,'Op Budget 2016'!$C$15:$Q$53,15,FALSE),)</f>
        <v>0</v>
      </c>
      <c r="L95" s="60">
        <f>_xlfn.IFNA(VLOOKUP(J95,'Op Budget 2016'!$C$15:$Q$53,15,FALSE),)</f>
        <v>0</v>
      </c>
      <c r="M95" s="60">
        <f>_xlfn.IFNA(VLOOKUP(K95,'Op Budget 2016'!$C$15:$Q$53,15,FALSE),)</f>
        <v>0</v>
      </c>
      <c r="N95" s="60">
        <f>_xlfn.IFNA(VLOOKUP(L95,'Op Budget 2016'!$C$15:$Q$53,15,FALSE),)</f>
        <v>0</v>
      </c>
      <c r="O95" s="60">
        <f>_xlfn.IFNA(VLOOKUP(M95,'Op Budget 2016'!$C$15:$Q$53,15,FALSE),)</f>
        <v>0</v>
      </c>
      <c r="P95" s="4">
        <f>_xlfn.IFNA(VLOOKUP(A95,cf!$A$10:$D$93,4,FALSE),)</f>
        <v>0</v>
      </c>
      <c r="Q95" s="4"/>
      <c r="R95" s="4">
        <v>47.21</v>
      </c>
      <c r="S95" s="4">
        <v>0</v>
      </c>
    </row>
    <row r="96" spans="1:21" x14ac:dyDescent="0.25">
      <c r="A96" s="1" t="s">
        <v>85</v>
      </c>
      <c r="B96" s="5" t="s">
        <v>86</v>
      </c>
      <c r="C96" s="4">
        <f>_xlfn.IFNA(VLOOKUP(A96,'Op Budget 2016'!$C$15:$Q$53,15,FALSE),)</f>
        <v>0</v>
      </c>
      <c r="D96" s="60">
        <f>_xlfn.IFNA(VLOOKUP(B96,'Op Budget 2016'!$C$15:$Q$53,15,FALSE),)</f>
        <v>0</v>
      </c>
      <c r="E96" s="60">
        <f>_xlfn.IFNA(VLOOKUP(C96,'Op Budget 2016'!$C$15:$Q$53,15,FALSE),)</f>
        <v>0</v>
      </c>
      <c r="F96" s="60">
        <f>_xlfn.IFNA(VLOOKUP(D96,'Op Budget 2016'!$C$15:$Q$53,15,FALSE),)</f>
        <v>0</v>
      </c>
      <c r="G96" s="60">
        <f>_xlfn.IFNA(VLOOKUP(E96,'Op Budget 2016'!$C$15:$Q$53,15,FALSE),)</f>
        <v>0</v>
      </c>
      <c r="H96" s="60">
        <f>_xlfn.IFNA(VLOOKUP(F96,'Op Budget 2016'!$C$15:$Q$53,15,FALSE),)</f>
        <v>0</v>
      </c>
      <c r="I96" s="60">
        <f>_xlfn.IFNA(VLOOKUP(G96,'Op Budget 2016'!$C$15:$Q$53,15,FALSE),)</f>
        <v>0</v>
      </c>
      <c r="J96" s="60">
        <f>_xlfn.IFNA(VLOOKUP(H96,'Op Budget 2016'!$C$15:$Q$53,15,FALSE),)</f>
        <v>0</v>
      </c>
      <c r="K96" s="60">
        <f>_xlfn.IFNA(VLOOKUP(I96,'Op Budget 2016'!$C$15:$Q$53,15,FALSE),)</f>
        <v>0</v>
      </c>
      <c r="L96" s="60">
        <f>_xlfn.IFNA(VLOOKUP(J96,'Op Budget 2016'!$C$15:$Q$53,15,FALSE),)</f>
        <v>0</v>
      </c>
      <c r="M96" s="60">
        <f>_xlfn.IFNA(VLOOKUP(K96,'Op Budget 2016'!$C$15:$Q$53,15,FALSE),)</f>
        <v>0</v>
      </c>
      <c r="N96" s="60">
        <f>_xlfn.IFNA(VLOOKUP(L96,'Op Budget 2016'!$C$15:$Q$53,15,FALSE),)</f>
        <v>0</v>
      </c>
      <c r="O96" s="60">
        <f>_xlfn.IFNA(VLOOKUP(M96,'Op Budget 2016'!$C$15:$Q$53,15,FALSE),)</f>
        <v>0</v>
      </c>
      <c r="P96" s="4">
        <f>_xlfn.IFNA(VLOOKUP(A96,cf!$A$10:$D$93,4,FALSE),)</f>
        <v>15</v>
      </c>
      <c r="Q96" s="4"/>
      <c r="R96" s="4">
        <v>7513.33</v>
      </c>
      <c r="S96" s="4">
        <v>0</v>
      </c>
    </row>
    <row r="97" spans="1:19" x14ac:dyDescent="0.25">
      <c r="A97" s="1" t="s">
        <v>87</v>
      </c>
      <c r="B97" s="5" t="s">
        <v>88</v>
      </c>
      <c r="C97" s="4">
        <f>_xlfn.IFNA(VLOOKUP(A97,'Op Budget 2016'!$C$15:$Q$53,15,FALSE),)</f>
        <v>8150</v>
      </c>
      <c r="D97" s="60">
        <v>2000</v>
      </c>
      <c r="E97" s="60">
        <v>200</v>
      </c>
      <c r="F97" s="60">
        <v>2000</v>
      </c>
      <c r="G97" s="60">
        <v>750</v>
      </c>
      <c r="H97" s="60">
        <v>750</v>
      </c>
      <c r="I97" s="60">
        <v>350</v>
      </c>
      <c r="J97" s="60">
        <v>350</v>
      </c>
      <c r="K97" s="60">
        <v>350</v>
      </c>
      <c r="L97" s="60">
        <v>350</v>
      </c>
      <c r="M97" s="60">
        <v>350</v>
      </c>
      <c r="N97" s="60">
        <v>350</v>
      </c>
      <c r="O97" s="60">
        <v>350</v>
      </c>
      <c r="P97" s="4">
        <f>_xlfn.IFNA(VLOOKUP(A97,cf!$A$10:$D$93,4,FALSE),)</f>
        <v>3372.2</v>
      </c>
      <c r="Q97" s="4"/>
      <c r="R97" s="4">
        <v>16965.75</v>
      </c>
      <c r="S97" s="4">
        <v>0</v>
      </c>
    </row>
    <row r="98" spans="1:19" x14ac:dyDescent="0.25">
      <c r="A98" s="1" t="s">
        <v>89</v>
      </c>
      <c r="B98" s="5" t="s">
        <v>90</v>
      </c>
      <c r="C98" s="4">
        <f>_xlfn.IFNA(VLOOKUP(A98,'Op Budget 2016'!$C$15:$Q$53,15,FALSE),)</f>
        <v>3600</v>
      </c>
      <c r="D98" s="60">
        <f>$C$98/12</f>
        <v>300</v>
      </c>
      <c r="E98" s="60">
        <f t="shared" ref="E98:O98" si="14">$C$98/12</f>
        <v>300</v>
      </c>
      <c r="F98" s="60">
        <f t="shared" si="14"/>
        <v>300</v>
      </c>
      <c r="G98" s="60">
        <f t="shared" si="14"/>
        <v>300</v>
      </c>
      <c r="H98" s="60">
        <f t="shared" si="14"/>
        <v>300</v>
      </c>
      <c r="I98" s="60">
        <f t="shared" si="14"/>
        <v>300</v>
      </c>
      <c r="J98" s="60">
        <f t="shared" si="14"/>
        <v>300</v>
      </c>
      <c r="K98" s="60">
        <f t="shared" si="14"/>
        <v>300</v>
      </c>
      <c r="L98" s="60">
        <f t="shared" si="14"/>
        <v>300</v>
      </c>
      <c r="M98" s="60">
        <f t="shared" si="14"/>
        <v>300</v>
      </c>
      <c r="N98" s="60">
        <f t="shared" si="14"/>
        <v>300</v>
      </c>
      <c r="O98" s="60">
        <f t="shared" si="14"/>
        <v>300</v>
      </c>
      <c r="P98" s="4">
        <f>_xlfn.IFNA(VLOOKUP(A98,cf!$A$10:$D$93,4,FALSE),)</f>
        <v>900</v>
      </c>
      <c r="Q98" s="4"/>
      <c r="R98" s="4">
        <v>12170</v>
      </c>
      <c r="S98" s="4">
        <v>0</v>
      </c>
    </row>
    <row r="99" spans="1:19" x14ac:dyDescent="0.25">
      <c r="A99" s="1" t="s">
        <v>91</v>
      </c>
      <c r="B99" s="5" t="s">
        <v>92</v>
      </c>
      <c r="C99" s="4">
        <f>SUM(D99:O99)</f>
        <v>55480.331010065005</v>
      </c>
      <c r="D99" s="60">
        <f>'Broker''s Comm'!K14</f>
        <v>9137</v>
      </c>
      <c r="E99" s="60">
        <f>'Broker''s Comm'!L14</f>
        <v>0</v>
      </c>
      <c r="F99" s="60">
        <f>'Broker''s Comm'!M14</f>
        <v>0</v>
      </c>
      <c r="G99" s="60">
        <f>'Broker''s Comm'!N14</f>
        <v>15419</v>
      </c>
      <c r="H99" s="60">
        <f>'Broker''s Comm'!O14</f>
        <v>4204.8355000000001</v>
      </c>
      <c r="I99" s="60">
        <f>'Broker''s Comm'!P14</f>
        <v>1773.9150025162505</v>
      </c>
      <c r="J99" s="60">
        <f>'Broker''s Comm'!Q14</f>
        <v>15419</v>
      </c>
      <c r="K99" s="60">
        <f>'Broker''s Comm'!R14</f>
        <v>0</v>
      </c>
      <c r="L99" s="60">
        <f>'Broker''s Comm'!S14</f>
        <v>0</v>
      </c>
      <c r="M99" s="60">
        <f>'Broker''s Comm'!T14</f>
        <v>1773.9150025162505</v>
      </c>
      <c r="N99" s="60">
        <f>'Broker''s Comm'!U14</f>
        <v>4204.8355000000001</v>
      </c>
      <c r="O99" s="60">
        <f>'Broker''s Comm'!V14</f>
        <v>3547.830005032501</v>
      </c>
      <c r="P99" s="4">
        <f>_xlfn.IFNA(VLOOKUP(A99,cf!$A$10:$D$93,4,FALSE),)</f>
        <v>0</v>
      </c>
      <c r="Q99" s="4"/>
      <c r="R99" s="4">
        <v>12564</v>
      </c>
      <c r="S99" s="4">
        <v>0</v>
      </c>
    </row>
    <row r="100" spans="1:19" ht="15.75" thickBot="1" x14ac:dyDescent="0.3">
      <c r="A100" s="1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s="135" customFormat="1" x14ac:dyDescent="0.25">
      <c r="A101" s="6" t="s">
        <v>93</v>
      </c>
      <c r="B101" s="3" t="s">
        <v>94</v>
      </c>
      <c r="C101" s="133">
        <f>SUM(C84:C100)</f>
        <v>160743.77301006499</v>
      </c>
      <c r="D101" s="133">
        <f t="shared" ref="D101:O101" si="15">SUM(D84:D100)</f>
        <v>33818.953500000003</v>
      </c>
      <c r="E101" s="133">
        <f t="shared" si="15"/>
        <v>718.20349999999996</v>
      </c>
      <c r="F101" s="133">
        <f t="shared" si="15"/>
        <v>2818.2035000000001</v>
      </c>
      <c r="G101" s="133">
        <f t="shared" si="15"/>
        <v>38850.953500000003</v>
      </c>
      <c r="H101" s="133">
        <f t="shared" si="15"/>
        <v>5473.0390000000007</v>
      </c>
      <c r="I101" s="133">
        <f t="shared" si="15"/>
        <v>3612.1185025162504</v>
      </c>
      <c r="J101" s="133">
        <f t="shared" si="15"/>
        <v>38450.953500000003</v>
      </c>
      <c r="K101" s="133">
        <f t="shared" si="15"/>
        <v>868.20349999999996</v>
      </c>
      <c r="L101" s="133">
        <f t="shared" si="15"/>
        <v>1838.2035000000001</v>
      </c>
      <c r="M101" s="133">
        <f t="shared" si="15"/>
        <v>24805.868502516249</v>
      </c>
      <c r="N101" s="133">
        <f t="shared" si="15"/>
        <v>5073.0389999999998</v>
      </c>
      <c r="O101" s="133">
        <f t="shared" si="15"/>
        <v>4416.0335050325011</v>
      </c>
      <c r="P101" s="133">
        <f>SUM(P84:P100)</f>
        <v>5021.01</v>
      </c>
      <c r="Q101" s="133"/>
      <c r="R101" s="133">
        <v>145052.41</v>
      </c>
      <c r="S101" s="133">
        <v>0</v>
      </c>
    </row>
    <row r="102" spans="1:19" x14ac:dyDescent="0.25">
      <c r="A102" s="1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 t="s">
        <v>95</v>
      </c>
      <c r="B103" s="5" t="s">
        <v>96</v>
      </c>
      <c r="C103" s="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4"/>
      <c r="Q103" s="9"/>
      <c r="R103" s="9"/>
      <c r="S103" s="9"/>
    </row>
    <row r="104" spans="1:19" x14ac:dyDescent="0.25">
      <c r="A104" s="1" t="s">
        <v>296</v>
      </c>
      <c r="B104" s="5" t="s">
        <v>433</v>
      </c>
      <c r="C104" s="4">
        <f>_xlfn.IFNA(VLOOKUP(A104,'Op Budget 2016'!$C$15:$Q$53,15,FALSE),)</f>
        <v>1217.8799999999999</v>
      </c>
      <c r="D104" s="60">
        <f>$C$104/12</f>
        <v>101.49</v>
      </c>
      <c r="E104" s="60">
        <f t="shared" ref="E104:O104" si="16">$C$104/12</f>
        <v>101.49</v>
      </c>
      <c r="F104" s="60">
        <f t="shared" si="16"/>
        <v>101.49</v>
      </c>
      <c r="G104" s="60">
        <f t="shared" si="16"/>
        <v>101.49</v>
      </c>
      <c r="H104" s="60">
        <f t="shared" si="16"/>
        <v>101.49</v>
      </c>
      <c r="I104" s="60">
        <f t="shared" si="16"/>
        <v>101.49</v>
      </c>
      <c r="J104" s="60">
        <f t="shared" si="16"/>
        <v>101.49</v>
      </c>
      <c r="K104" s="60">
        <f t="shared" si="16"/>
        <v>101.49</v>
      </c>
      <c r="L104" s="60">
        <f t="shared" si="16"/>
        <v>101.49</v>
      </c>
      <c r="M104" s="60">
        <f t="shared" si="16"/>
        <v>101.49</v>
      </c>
      <c r="N104" s="60">
        <f t="shared" si="16"/>
        <v>101.49</v>
      </c>
      <c r="O104" s="60">
        <f t="shared" si="16"/>
        <v>101.49</v>
      </c>
      <c r="P104" s="4"/>
      <c r="Q104" s="9"/>
      <c r="R104" s="9"/>
      <c r="S104" s="9"/>
    </row>
    <row r="105" spans="1:19" x14ac:dyDescent="0.25">
      <c r="A105" s="1" t="s">
        <v>97</v>
      </c>
      <c r="B105" s="5" t="s">
        <v>98</v>
      </c>
      <c r="C105" s="4">
        <f>_xlfn.IFNA(VLOOKUP(A105,'Op Budget 2016'!$C$15:$Q$53,15,FALSE),)</f>
        <v>318</v>
      </c>
      <c r="D105" s="60">
        <v>0</v>
      </c>
      <c r="E105" s="60">
        <v>0</v>
      </c>
      <c r="F105" s="60">
        <v>103</v>
      </c>
      <c r="G105" s="60">
        <v>20</v>
      </c>
      <c r="H105" s="60">
        <v>0</v>
      </c>
      <c r="I105" s="60">
        <v>0</v>
      </c>
      <c r="J105" s="60">
        <v>117</v>
      </c>
      <c r="K105" s="60">
        <v>78</v>
      </c>
      <c r="L105" s="60">
        <v>0</v>
      </c>
      <c r="M105" s="60">
        <v>0</v>
      </c>
      <c r="N105" s="60">
        <v>0</v>
      </c>
      <c r="O105" s="60">
        <v>0</v>
      </c>
      <c r="P105" s="4">
        <f>_xlfn.IFNA(VLOOKUP(A105,cf!$A$10:$D$93,4,FALSE),)</f>
        <v>93.94</v>
      </c>
      <c r="Q105" s="4"/>
      <c r="R105" s="4">
        <v>147.46</v>
      </c>
      <c r="S105" s="4">
        <v>0</v>
      </c>
    </row>
    <row r="106" spans="1:19" x14ac:dyDescent="0.25">
      <c r="A106" s="1" t="s">
        <v>99</v>
      </c>
      <c r="B106" s="5" t="s">
        <v>100</v>
      </c>
      <c r="C106" s="4">
        <f>_xlfn.IFNA(VLOOKUP(A106,'Op Budget 2016'!$C$15:$Q$53,15,FALSE),)</f>
        <v>974.30399999999997</v>
      </c>
      <c r="D106" s="60">
        <v>81.191999999999993</v>
      </c>
      <c r="E106" s="60">
        <v>81.191999999999993</v>
      </c>
      <c r="F106" s="60">
        <v>81.191999999999993</v>
      </c>
      <c r="G106" s="60">
        <v>81.191999999999993</v>
      </c>
      <c r="H106" s="60">
        <v>81.191999999999993</v>
      </c>
      <c r="I106" s="60">
        <v>81.191999999999993</v>
      </c>
      <c r="J106" s="60">
        <v>81.191999999999993</v>
      </c>
      <c r="K106" s="60">
        <v>81.191999999999993</v>
      </c>
      <c r="L106" s="60">
        <v>81.191999999999993</v>
      </c>
      <c r="M106" s="60">
        <v>81.191999999999993</v>
      </c>
      <c r="N106" s="60">
        <v>81.191999999999993</v>
      </c>
      <c r="O106" s="60">
        <v>81.191999999999993</v>
      </c>
      <c r="P106" s="4">
        <f>_xlfn.IFNA(VLOOKUP(A106,cf!$A$10:$D$93,4,FALSE),)</f>
        <v>311.60000000000002</v>
      </c>
      <c r="Q106" s="4"/>
      <c r="R106" s="4">
        <v>681.67</v>
      </c>
      <c r="S106" s="4">
        <v>0</v>
      </c>
    </row>
    <row r="107" spans="1:19" x14ac:dyDescent="0.25">
      <c r="A107" s="1" t="s">
        <v>101</v>
      </c>
      <c r="B107" s="5" t="s">
        <v>102</v>
      </c>
      <c r="C107" s="4">
        <f>_xlfn.IFNA(VLOOKUP(A107,'Op Budget 2016'!$C$15:$Q$53,15,FALSE),)</f>
        <v>600</v>
      </c>
      <c r="D107" s="60">
        <v>50</v>
      </c>
      <c r="E107" s="60">
        <v>50</v>
      </c>
      <c r="F107" s="60">
        <v>50</v>
      </c>
      <c r="G107" s="60">
        <v>50</v>
      </c>
      <c r="H107" s="60">
        <v>50</v>
      </c>
      <c r="I107" s="60">
        <v>50</v>
      </c>
      <c r="J107" s="60">
        <v>50</v>
      </c>
      <c r="K107" s="60">
        <v>50</v>
      </c>
      <c r="L107" s="60">
        <v>50</v>
      </c>
      <c r="M107" s="60">
        <v>50</v>
      </c>
      <c r="N107" s="60">
        <v>50</v>
      </c>
      <c r="O107" s="60">
        <v>50</v>
      </c>
      <c r="P107" s="4">
        <f>_xlfn.IFNA(VLOOKUP(A107,cf!$A$10:$D$93,4,FALSE),)</f>
        <v>251</v>
      </c>
      <c r="Q107" s="4"/>
      <c r="R107" s="4">
        <v>251</v>
      </c>
      <c r="S107" s="4">
        <v>0</v>
      </c>
    </row>
    <row r="108" spans="1:19" x14ac:dyDescent="0.25">
      <c r="A108" s="1" t="s">
        <v>103</v>
      </c>
      <c r="B108" s="5" t="s">
        <v>104</v>
      </c>
      <c r="C108" s="4">
        <f>_xlfn.IFNA(VLOOKUP(A108,'Op Budget 2016'!$C$15:$Q$53,15,FALSE),)</f>
        <v>180</v>
      </c>
      <c r="D108" s="60">
        <v>15</v>
      </c>
      <c r="E108" s="60">
        <v>15</v>
      </c>
      <c r="F108" s="60">
        <v>15</v>
      </c>
      <c r="G108" s="60">
        <v>15</v>
      </c>
      <c r="H108" s="60">
        <v>15</v>
      </c>
      <c r="I108" s="60">
        <v>15</v>
      </c>
      <c r="J108" s="60">
        <v>15</v>
      </c>
      <c r="K108" s="60">
        <v>15</v>
      </c>
      <c r="L108" s="60">
        <v>15</v>
      </c>
      <c r="M108" s="60">
        <v>15</v>
      </c>
      <c r="N108" s="60">
        <v>15</v>
      </c>
      <c r="O108" s="60">
        <v>15</v>
      </c>
      <c r="P108" s="4">
        <f>_xlfn.IFNA(VLOOKUP(A108,cf!$A$10:$D$93,4,FALSE),)</f>
        <v>35.04</v>
      </c>
      <c r="Q108" s="4"/>
      <c r="R108" s="4">
        <v>98.06</v>
      </c>
      <c r="S108" s="4">
        <v>0</v>
      </c>
    </row>
    <row r="109" spans="1:19" ht="15.75" thickBot="1" x14ac:dyDescent="0.3">
      <c r="A109" s="1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s="135" customFormat="1" x14ac:dyDescent="0.25">
      <c r="A110" s="6" t="s">
        <v>105</v>
      </c>
      <c r="B110" s="3" t="s">
        <v>106</v>
      </c>
      <c r="C110" s="133">
        <f>SUM(C104:C109)</f>
        <v>3290.1839999999997</v>
      </c>
      <c r="D110" s="133">
        <f t="shared" ref="D110:O110" si="17">SUM(D104:D109)</f>
        <v>247.68199999999999</v>
      </c>
      <c r="E110" s="133">
        <f t="shared" si="17"/>
        <v>247.68199999999999</v>
      </c>
      <c r="F110" s="133">
        <f t="shared" si="17"/>
        <v>350.68200000000002</v>
      </c>
      <c r="G110" s="133">
        <f t="shared" si="17"/>
        <v>267.68200000000002</v>
      </c>
      <c r="H110" s="133">
        <f t="shared" si="17"/>
        <v>247.68199999999999</v>
      </c>
      <c r="I110" s="133">
        <f t="shared" si="17"/>
        <v>247.68199999999999</v>
      </c>
      <c r="J110" s="133">
        <f t="shared" si="17"/>
        <v>364.68200000000002</v>
      </c>
      <c r="K110" s="133">
        <f t="shared" si="17"/>
        <v>325.68200000000002</v>
      </c>
      <c r="L110" s="133">
        <f t="shared" si="17"/>
        <v>247.68199999999999</v>
      </c>
      <c r="M110" s="133">
        <f t="shared" si="17"/>
        <v>247.68199999999999</v>
      </c>
      <c r="N110" s="133">
        <f t="shared" si="17"/>
        <v>247.68199999999999</v>
      </c>
      <c r="O110" s="133">
        <f t="shared" si="17"/>
        <v>247.68199999999999</v>
      </c>
      <c r="P110" s="133">
        <f>SUM(P105:P109)</f>
        <v>691.57999999999993</v>
      </c>
      <c r="Q110" s="133"/>
      <c r="R110" s="133">
        <v>1178.19</v>
      </c>
      <c r="S110" s="133">
        <v>0</v>
      </c>
    </row>
    <row r="111" spans="1:19" x14ac:dyDescent="0.25">
      <c r="A111" s="1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 t="s">
        <v>107</v>
      </c>
      <c r="B112" s="5" t="s">
        <v>108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5">
      <c r="A113" s="1" t="s">
        <v>109</v>
      </c>
      <c r="B113" s="5" t="s">
        <v>110</v>
      </c>
      <c r="C113" s="4">
        <f>_xlfn.IFNA(VLOOKUP(A113,'Op Budget 2016'!$C$15:$Q$53,15,FALSE),)</f>
        <v>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4">
        <f>_xlfn.IFNA(VLOOKUP(A113,cf!$A$10:$D$93,4,FALSE),)</f>
        <v>0</v>
      </c>
      <c r="Q113" s="4"/>
      <c r="R113" s="4">
        <v>37826</v>
      </c>
      <c r="S113" s="4">
        <v>0</v>
      </c>
    </row>
    <row r="114" spans="1:19" x14ac:dyDescent="0.25">
      <c r="A114" s="1" t="s">
        <v>111</v>
      </c>
      <c r="B114" s="5" t="s">
        <v>112</v>
      </c>
      <c r="C114" s="4">
        <f>_xlfn.IFNA(VLOOKUP(A114,'Op Budget 2016'!$C$15:$Q$53,15,FALSE),)</f>
        <v>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4">
        <f>_xlfn.IFNA(VLOOKUP(A114,cf!$A$10:$D$93,4,FALSE),)</f>
        <v>0</v>
      </c>
      <c r="Q114" s="4"/>
      <c r="R114" s="4">
        <v>13179</v>
      </c>
      <c r="S114" s="4">
        <v>0</v>
      </c>
    </row>
    <row r="115" spans="1:19" x14ac:dyDescent="0.25">
      <c r="A115" s="1" t="s">
        <v>113</v>
      </c>
      <c r="B115" s="5" t="s">
        <v>114</v>
      </c>
      <c r="C115" s="4">
        <f>_xlfn.IFNA(VLOOKUP(A115,'Op Budget 2016'!$C$15:$Q$53,15,FALSE),)</f>
        <v>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4">
        <f>_xlfn.IFNA(VLOOKUP(A115,cf!$A$10:$D$93,4,FALSE),)</f>
        <v>0</v>
      </c>
      <c r="Q115" s="4"/>
      <c r="R115" s="4">
        <v>17065</v>
      </c>
      <c r="S115" s="4">
        <v>0</v>
      </c>
    </row>
    <row r="116" spans="1:19" ht="15.75" thickBot="1" x14ac:dyDescent="0.3">
      <c r="A116" s="1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 t="s">
        <v>115</v>
      </c>
      <c r="B117" s="5" t="s">
        <v>116</v>
      </c>
      <c r="C117" s="8">
        <f>SUM(C113:C116)</f>
        <v>0</v>
      </c>
      <c r="D117" s="8">
        <f t="shared" ref="D117:O117" si="18">SUM(D113:D116)</f>
        <v>0</v>
      </c>
      <c r="E117" s="8">
        <f t="shared" si="18"/>
        <v>0</v>
      </c>
      <c r="F117" s="8">
        <f t="shared" si="18"/>
        <v>0</v>
      </c>
      <c r="G117" s="8">
        <f t="shared" si="18"/>
        <v>0</v>
      </c>
      <c r="H117" s="8">
        <f t="shared" si="18"/>
        <v>0</v>
      </c>
      <c r="I117" s="8">
        <f t="shared" si="18"/>
        <v>0</v>
      </c>
      <c r="J117" s="8">
        <f t="shared" si="18"/>
        <v>0</v>
      </c>
      <c r="K117" s="8">
        <f t="shared" si="18"/>
        <v>0</v>
      </c>
      <c r="L117" s="8">
        <f t="shared" si="18"/>
        <v>0</v>
      </c>
      <c r="M117" s="8">
        <f t="shared" si="18"/>
        <v>0</v>
      </c>
      <c r="N117" s="8">
        <f t="shared" si="18"/>
        <v>0</v>
      </c>
      <c r="O117" s="8">
        <f t="shared" si="18"/>
        <v>0</v>
      </c>
      <c r="P117" s="8">
        <f>SUM(P113:P116)</f>
        <v>0</v>
      </c>
      <c r="Q117" s="8"/>
      <c r="R117" s="8">
        <v>68070</v>
      </c>
      <c r="S117" s="8">
        <v>0</v>
      </c>
    </row>
    <row r="118" spans="1:19" x14ac:dyDescent="0.25">
      <c r="A118" s="1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 t="s">
        <v>117</v>
      </c>
      <c r="B119" s="5" t="s">
        <v>118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ht="15.75" thickBot="1" x14ac:dyDescent="0.3">
      <c r="A120" s="1" t="s">
        <v>119</v>
      </c>
      <c r="B120" s="5" t="s">
        <v>120</v>
      </c>
      <c r="C120" s="4">
        <v>159303</v>
      </c>
      <c r="D120" s="60">
        <v>13333.333333333334</v>
      </c>
      <c r="E120" s="60">
        <v>13333.333333333334</v>
      </c>
      <c r="F120" s="60">
        <v>13333.333333333334</v>
      </c>
      <c r="G120" s="60">
        <v>13333.33</v>
      </c>
      <c r="H120" s="60">
        <v>13314.12</v>
      </c>
      <c r="I120" s="60">
        <v>13294.85</v>
      </c>
      <c r="J120" s="60">
        <v>13275.51</v>
      </c>
      <c r="K120" s="60">
        <v>13256.1</v>
      </c>
      <c r="L120" s="60">
        <v>13236.64</v>
      </c>
      <c r="M120" s="60">
        <v>13217.1</v>
      </c>
      <c r="N120" s="60">
        <v>13197.5</v>
      </c>
      <c r="O120" s="60">
        <v>13177.84</v>
      </c>
      <c r="P120" s="4">
        <f>_xlfn.IFNA(VLOOKUP(A120,cf!$A$10:$D$93,4,FALSE),)</f>
        <v>27555.56</v>
      </c>
      <c r="Q120" s="4"/>
      <c r="R120" s="4">
        <v>162222.22</v>
      </c>
      <c r="S120" s="4">
        <v>0</v>
      </c>
    </row>
    <row r="121" spans="1:19" s="135" customFormat="1" x14ac:dyDescent="0.25">
      <c r="A121" s="6" t="s">
        <v>121</v>
      </c>
      <c r="B121" s="3" t="s">
        <v>122</v>
      </c>
      <c r="C121" s="133">
        <f>SUM(C120:C120)</f>
        <v>159303</v>
      </c>
      <c r="D121" s="133">
        <f>SUM(D120:D120)</f>
        <v>13333.333333333334</v>
      </c>
      <c r="E121" s="133">
        <f>SUM(E120:E120)</f>
        <v>13333.333333333334</v>
      </c>
      <c r="F121" s="133">
        <f>SUM(F120:F120)</f>
        <v>13333.333333333334</v>
      </c>
      <c r="G121" s="133">
        <f>SUM(G120:G120)</f>
        <v>13333.33</v>
      </c>
      <c r="H121" s="133">
        <f>SUM(H120:H120)</f>
        <v>13314.12</v>
      </c>
      <c r="I121" s="133">
        <f>SUM(I120:I120)</f>
        <v>13294.85</v>
      </c>
      <c r="J121" s="133">
        <f>SUM(J120:J120)</f>
        <v>13275.51</v>
      </c>
      <c r="K121" s="133">
        <f>SUM(K120:K120)</f>
        <v>13256.1</v>
      </c>
      <c r="L121" s="133">
        <f>SUM(L120:L120)</f>
        <v>13236.64</v>
      </c>
      <c r="M121" s="133">
        <f>SUM(M120:M120)</f>
        <v>13217.1</v>
      </c>
      <c r="N121" s="133">
        <f>SUM(N120:N120)</f>
        <v>13197.5</v>
      </c>
      <c r="O121" s="133">
        <f>SUM(O120:O120)</f>
        <v>13177.84</v>
      </c>
      <c r="P121" s="133">
        <f>SUM(P120:P120)</f>
        <v>27555.56</v>
      </c>
      <c r="Q121" s="133"/>
      <c r="R121" s="133">
        <v>162222.22</v>
      </c>
      <c r="S121" s="133">
        <v>0</v>
      </c>
    </row>
    <row r="122" spans="1:19" x14ac:dyDescent="0.25">
      <c r="A122" s="1"/>
      <c r="B122" s="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19" x14ac:dyDescent="0.25">
      <c r="A123" s="1" t="s">
        <v>123</v>
      </c>
      <c r="B123" s="5" t="s">
        <v>124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x14ac:dyDescent="0.25">
      <c r="A124" s="1" t="s">
        <v>125</v>
      </c>
      <c r="B124" s="5" t="s">
        <v>126</v>
      </c>
      <c r="C124" s="4">
        <f>_xlfn.IFNA(VLOOKUP(A124,'Op Budget 2016'!$C$15:$Q$53,15,FALSE),)</f>
        <v>0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4">
        <f>_xlfn.IFNA(VLOOKUP(A124,cf!$A$10:$D$93,4,FALSE),)</f>
        <v>0</v>
      </c>
      <c r="Q124" s="4"/>
      <c r="R124" s="4">
        <v>4343</v>
      </c>
      <c r="S124" s="4">
        <v>0</v>
      </c>
    </row>
    <row r="125" spans="1:19" ht="15.75" thickBot="1" x14ac:dyDescent="0.3">
      <c r="A125" s="1" t="s">
        <v>127</v>
      </c>
      <c r="B125" s="5" t="s">
        <v>128</v>
      </c>
      <c r="C125" s="4">
        <f>_xlfn.IFNA(VLOOKUP(A125,'Op Budget 2016'!$C$15:$Q$53,15,FALSE),)</f>
        <v>0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4">
        <f>_xlfn.IFNA(VLOOKUP(A125,cf!$A$10:$D$93,4,FALSE),)</f>
        <v>0</v>
      </c>
      <c r="Q125" s="4"/>
      <c r="R125" s="4">
        <v>11128</v>
      </c>
      <c r="S125" s="4">
        <v>0</v>
      </c>
    </row>
    <row r="126" spans="1:19" s="135" customFormat="1" x14ac:dyDescent="0.25">
      <c r="A126" s="6" t="s">
        <v>129</v>
      </c>
      <c r="B126" s="3" t="s">
        <v>130</v>
      </c>
      <c r="C126" s="133">
        <f>SUM(C124:C125)</f>
        <v>0</v>
      </c>
      <c r="D126" s="133">
        <f t="shared" ref="D126:O126" si="19">SUM(D124:D125)</f>
        <v>0</v>
      </c>
      <c r="E126" s="133">
        <f t="shared" si="19"/>
        <v>0</v>
      </c>
      <c r="F126" s="133">
        <f t="shared" si="19"/>
        <v>0</v>
      </c>
      <c r="G126" s="133">
        <f t="shared" si="19"/>
        <v>0</v>
      </c>
      <c r="H126" s="133">
        <f t="shared" si="19"/>
        <v>0</v>
      </c>
      <c r="I126" s="133">
        <f t="shared" si="19"/>
        <v>0</v>
      </c>
      <c r="J126" s="133">
        <f t="shared" si="19"/>
        <v>0</v>
      </c>
      <c r="K126" s="133">
        <f t="shared" si="19"/>
        <v>0</v>
      </c>
      <c r="L126" s="133">
        <f t="shared" si="19"/>
        <v>0</v>
      </c>
      <c r="M126" s="133">
        <f t="shared" si="19"/>
        <v>0</v>
      </c>
      <c r="N126" s="133">
        <f t="shared" si="19"/>
        <v>0</v>
      </c>
      <c r="O126" s="133">
        <f t="shared" si="19"/>
        <v>0</v>
      </c>
      <c r="P126" s="133">
        <f>SUM(P124:P125)</f>
        <v>0</v>
      </c>
      <c r="Q126" s="133"/>
      <c r="R126" s="133">
        <v>15471</v>
      </c>
      <c r="S126" s="133">
        <v>0</v>
      </c>
    </row>
    <row r="127" spans="1:19" x14ac:dyDescent="0.25">
      <c r="A127" s="1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thickBot="1" x14ac:dyDescent="0.3">
      <c r="A128" s="1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s="135" customFormat="1" x14ac:dyDescent="0.25">
      <c r="A129" s="6" t="s">
        <v>131</v>
      </c>
      <c r="B129" s="3" t="s">
        <v>132</v>
      </c>
      <c r="C129" s="133">
        <f>SUM(C126,C121,C117,C110,C101,C81)</f>
        <v>384973.95701006497</v>
      </c>
      <c r="D129" s="133">
        <f>SUM(D126,D121,D117,D110,D101,D81)</f>
        <v>51841.96883333334</v>
      </c>
      <c r="E129" s="133">
        <f>SUM(E126,E121,E117,E110,E101,E81)</f>
        <v>17671.218833333332</v>
      </c>
      <c r="F129" s="133">
        <f>SUM(F126,F121,F117,F110,F101,F81)</f>
        <v>19874.218833333336</v>
      </c>
      <c r="G129" s="133">
        <f>SUM(G126,G121,G117,G110,G101,G81)</f>
        <v>59440.965500000006</v>
      </c>
      <c r="H129" s="133">
        <f>SUM(H126,H121,H117,H110,H101,H81)</f>
        <v>27483.841</v>
      </c>
      <c r="I129" s="133">
        <f>SUM(I126,I121,I117,I110,I101,I81)</f>
        <v>20996.650502516251</v>
      </c>
      <c r="J129" s="133">
        <f>SUM(J126,J121,J117,J110,J101,J81)</f>
        <v>56001.145500000006</v>
      </c>
      <c r="K129" s="133">
        <f>SUM(K126,K121,K117,K110,K101,K81)</f>
        <v>20859.985500000003</v>
      </c>
      <c r="L129" s="133">
        <f>SUM(L126,L121,L117,L110,L101,L81)</f>
        <v>19305.5255</v>
      </c>
      <c r="M129" s="133">
        <f>SUM(M126,M121,M117,M110,M101,M81)</f>
        <v>42326.650502516248</v>
      </c>
      <c r="N129" s="133">
        <f>SUM(N126,N121,N117,N110,N101,N81)</f>
        <v>26174.221000000001</v>
      </c>
      <c r="O129" s="133">
        <f>SUM(O126,O121,O117,O110,O101,O81)</f>
        <v>22997.555505032502</v>
      </c>
      <c r="P129" s="133">
        <f>SUM(P126,P121,P117,P110,P101,P81)</f>
        <v>42974.39</v>
      </c>
      <c r="Q129" s="133"/>
      <c r="R129" s="133">
        <v>439355.85</v>
      </c>
      <c r="S129" s="133">
        <v>0</v>
      </c>
    </row>
    <row r="130" spans="1:19" x14ac:dyDescent="0.25">
      <c r="A130" s="1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thickBot="1" x14ac:dyDescent="0.3">
      <c r="A131" s="1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s="135" customFormat="1" x14ac:dyDescent="0.25">
      <c r="A132" s="6" t="s">
        <v>133</v>
      </c>
      <c r="B132" s="3" t="s">
        <v>134</v>
      </c>
      <c r="C132" s="133">
        <f>-C129+C66</f>
        <v>317548.04298993503</v>
      </c>
      <c r="D132" s="133">
        <f>-D129+D66</f>
        <v>-18687.385500000004</v>
      </c>
      <c r="E132" s="133">
        <f>-E129+E66</f>
        <v>15483.364500000003</v>
      </c>
      <c r="F132" s="133">
        <f>-F129+F66</f>
        <v>13280.3645</v>
      </c>
      <c r="G132" s="133">
        <f>-G129+G66</f>
        <v>128713.61783333334</v>
      </c>
      <c r="H132" s="133">
        <f>-H129+H66</f>
        <v>57210.742333333343</v>
      </c>
      <c r="I132" s="133">
        <f>-I129+I66</f>
        <v>45570.932830817081</v>
      </c>
      <c r="J132" s="133">
        <f>-J129+J66</f>
        <v>1916.4378333333225</v>
      </c>
      <c r="K132" s="133">
        <f>-K129+K66</f>
        <v>17057.597833333333</v>
      </c>
      <c r="L132" s="133">
        <f>-L129+L66</f>
        <v>20079.057833333336</v>
      </c>
      <c r="M132" s="133">
        <f>-M129+M66</f>
        <v>-1475.067169182912</v>
      </c>
      <c r="N132" s="133">
        <f>-N129+N66</f>
        <v>17610.362333333334</v>
      </c>
      <c r="O132" s="133">
        <f>-O129+O66</f>
        <v>20787.027828300834</v>
      </c>
      <c r="P132" s="133">
        <f ca="1">-P129+P66</f>
        <v>61345.42</v>
      </c>
      <c r="Q132" s="133"/>
      <c r="R132" s="133">
        <v>-170830.03</v>
      </c>
      <c r="S132" s="133">
        <v>0</v>
      </c>
    </row>
    <row r="133" spans="1:19" x14ac:dyDescent="0.25">
      <c r="A133" s="1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5" t="s">
        <v>135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ht="15.75" thickBot="1" x14ac:dyDescent="0.3">
      <c r="A135" s="1" t="s">
        <v>136</v>
      </c>
      <c r="B135" s="5" t="s">
        <v>137</v>
      </c>
      <c r="C135" s="4">
        <f>SUM(D135:O135)</f>
        <v>83664</v>
      </c>
      <c r="D135" s="60">
        <v>6972</v>
      </c>
      <c r="E135" s="60">
        <v>6972</v>
      </c>
      <c r="F135" s="60">
        <v>6972</v>
      </c>
      <c r="G135" s="60">
        <v>6972</v>
      </c>
      <c r="H135" s="60">
        <v>6972</v>
      </c>
      <c r="I135" s="60">
        <v>6972</v>
      </c>
      <c r="J135" s="60">
        <v>6972</v>
      </c>
      <c r="K135" s="60">
        <v>6972</v>
      </c>
      <c r="L135" s="60">
        <v>6972</v>
      </c>
      <c r="M135" s="60">
        <v>6972</v>
      </c>
      <c r="N135" s="60">
        <v>6972</v>
      </c>
      <c r="O135" s="60">
        <v>6972</v>
      </c>
      <c r="P135" s="4">
        <f>_xlfn.IFNA(VLOOKUP(A135,cf!$A$10:$D$93,4,FALSE),)</f>
        <v>-13944.84</v>
      </c>
      <c r="Q135" s="4"/>
      <c r="R135" s="4">
        <v>1385.06</v>
      </c>
      <c r="S135" s="4">
        <v>0</v>
      </c>
    </row>
    <row r="136" spans="1:19" s="135" customFormat="1" x14ac:dyDescent="0.25">
      <c r="A136" s="6" t="s">
        <v>138</v>
      </c>
      <c r="B136" s="3" t="s">
        <v>139</v>
      </c>
      <c r="C136" s="133">
        <f>SUM(C135:C135)</f>
        <v>83664</v>
      </c>
      <c r="D136" s="133">
        <f>SUM(D135:D135)</f>
        <v>6972</v>
      </c>
      <c r="E136" s="133">
        <f>SUM(E135:E135)</f>
        <v>6972</v>
      </c>
      <c r="F136" s="133">
        <f>SUM(F135:F135)</f>
        <v>6972</v>
      </c>
      <c r="G136" s="133">
        <f>SUM(G135:G135)</f>
        <v>6972</v>
      </c>
      <c r="H136" s="133">
        <f>SUM(H135:H135)</f>
        <v>6972</v>
      </c>
      <c r="I136" s="133">
        <f>SUM(I135:I135)</f>
        <v>6972</v>
      </c>
      <c r="J136" s="133">
        <f>SUM(J135:J135)</f>
        <v>6972</v>
      </c>
      <c r="K136" s="133">
        <f>SUM(K135:K135)</f>
        <v>6972</v>
      </c>
      <c r="L136" s="133">
        <f>SUM(L135:L135)</f>
        <v>6972</v>
      </c>
      <c r="M136" s="133">
        <f>SUM(M135:M135)</f>
        <v>6972</v>
      </c>
      <c r="N136" s="133">
        <f>SUM(N135:N135)</f>
        <v>6972</v>
      </c>
      <c r="O136" s="133">
        <f>SUM(O135:O135)</f>
        <v>6972</v>
      </c>
      <c r="P136" s="133">
        <f>SUM(P135:P135)</f>
        <v>-13944.84</v>
      </c>
      <c r="Q136" s="133"/>
      <c r="R136" s="133">
        <v>1385.06</v>
      </c>
      <c r="S136" s="133">
        <v>0</v>
      </c>
    </row>
    <row r="137" spans="1:19" s="135" customFormat="1" x14ac:dyDescent="0.25">
      <c r="A137" s="6"/>
      <c r="B137" s="3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</row>
    <row r="138" spans="1:19" x14ac:dyDescent="0.25">
      <c r="A138" s="1" t="s">
        <v>140</v>
      </c>
      <c r="B138" s="5" t="s">
        <v>141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x14ac:dyDescent="0.25">
      <c r="A139" s="1" t="s">
        <v>142</v>
      </c>
      <c r="B139" s="5" t="s">
        <v>143</v>
      </c>
      <c r="C139" s="4">
        <f>_xlfn.IFNA(VLOOKUP(A139,'Op Budget 2016'!$C$15:$Q$53,15,FALSE),)</f>
        <v>0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4">
        <f>_xlfn.IFNA(VLOOKUP(A139,cf!$A$10:$D$93,4,FALSE),)</f>
        <v>-7935</v>
      </c>
      <c r="Q139" s="4"/>
      <c r="R139" s="4">
        <v>-5191.12</v>
      </c>
      <c r="S139" s="4">
        <v>0</v>
      </c>
    </row>
    <row r="140" spans="1:19" x14ac:dyDescent="0.25">
      <c r="A140" s="1" t="s">
        <v>144</v>
      </c>
      <c r="B140" s="5" t="s">
        <v>145</v>
      </c>
      <c r="C140" s="4">
        <f>_xlfn.IFNA(VLOOKUP(A140,'Op Budget 2016'!$C$15:$Q$53,15,FALSE),)</f>
        <v>0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4">
        <f>_xlfn.IFNA(VLOOKUP(A140,cf!$A$10:$D$93,4,FALSE),)</f>
        <v>0</v>
      </c>
      <c r="Q140" s="4"/>
      <c r="R140" s="4">
        <v>2029</v>
      </c>
      <c r="S140" s="4">
        <v>0</v>
      </c>
    </row>
    <row r="141" spans="1:19" ht="15.75" thickBot="1" x14ac:dyDescent="0.3">
      <c r="A141" s="1" t="s">
        <v>146</v>
      </c>
      <c r="B141" s="5" t="s">
        <v>147</v>
      </c>
      <c r="C141" s="4">
        <f>_xlfn.IFNA(VLOOKUP(A141,'Op Budget 2016'!$C$15:$Q$53,15,FALSE),)</f>
        <v>0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4">
        <f>_xlfn.IFNA(VLOOKUP(A141,cf!$A$10:$D$93,4,FALSE),)</f>
        <v>0</v>
      </c>
      <c r="Q141" s="4"/>
      <c r="R141" s="4">
        <v>-1252</v>
      </c>
      <c r="S141" s="4">
        <v>0</v>
      </c>
    </row>
    <row r="142" spans="1:19" s="135" customFormat="1" x14ac:dyDescent="0.25">
      <c r="A142" s="6" t="s">
        <v>148</v>
      </c>
      <c r="B142" s="3" t="s">
        <v>149</v>
      </c>
      <c r="C142" s="133">
        <f>SUM(C139:C141)</f>
        <v>0</v>
      </c>
      <c r="D142" s="133">
        <f t="shared" ref="D142:O142" si="20">SUM(D139:D141)</f>
        <v>0</v>
      </c>
      <c r="E142" s="133">
        <f t="shared" si="20"/>
        <v>0</v>
      </c>
      <c r="F142" s="133">
        <f t="shared" si="20"/>
        <v>0</v>
      </c>
      <c r="G142" s="133">
        <f t="shared" si="20"/>
        <v>0</v>
      </c>
      <c r="H142" s="133">
        <f t="shared" si="20"/>
        <v>0</v>
      </c>
      <c r="I142" s="133">
        <f t="shared" si="20"/>
        <v>0</v>
      </c>
      <c r="J142" s="133">
        <f t="shared" si="20"/>
        <v>0</v>
      </c>
      <c r="K142" s="133">
        <f t="shared" si="20"/>
        <v>0</v>
      </c>
      <c r="L142" s="133">
        <f t="shared" si="20"/>
        <v>0</v>
      </c>
      <c r="M142" s="133">
        <f t="shared" si="20"/>
        <v>0</v>
      </c>
      <c r="N142" s="133">
        <f t="shared" si="20"/>
        <v>0</v>
      </c>
      <c r="O142" s="133">
        <f t="shared" si="20"/>
        <v>0</v>
      </c>
      <c r="P142" s="133">
        <f>SUM(P139:P141)</f>
        <v>-7935</v>
      </c>
      <c r="Q142" s="133"/>
      <c r="R142" s="133">
        <v>-4414.12</v>
      </c>
      <c r="S142" s="133">
        <v>0</v>
      </c>
    </row>
    <row r="143" spans="1:19" x14ac:dyDescent="0.25">
      <c r="A143" s="1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 t="s">
        <v>150</v>
      </c>
      <c r="B144" s="5" t="s">
        <v>151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22" x14ac:dyDescent="0.25">
      <c r="A145" s="1" t="s">
        <v>152</v>
      </c>
      <c r="B145" s="5" t="s">
        <v>153</v>
      </c>
      <c r="C145" s="4">
        <f>SUM(D145:O145)</f>
        <v>48000</v>
      </c>
      <c r="D145" s="60">
        <v>0</v>
      </c>
      <c r="E145" s="60">
        <v>0</v>
      </c>
      <c r="F145" s="60">
        <v>0</v>
      </c>
      <c r="G145" s="60">
        <v>48000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4">
        <f>_xlfn.IFNA(VLOOKUP(A145,cf!$A$10:$D$93,4,FALSE),)</f>
        <v>0</v>
      </c>
      <c r="Q145" s="4"/>
      <c r="R145" s="4">
        <v>-806412.86</v>
      </c>
      <c r="S145" s="4">
        <v>0</v>
      </c>
    </row>
    <row r="146" spans="1:22" x14ac:dyDescent="0.25">
      <c r="A146" s="1" t="s">
        <v>317</v>
      </c>
      <c r="B146" s="5" t="s">
        <v>435</v>
      </c>
      <c r="C146" s="4">
        <f>SUM(D146:O146)</f>
        <v>123739</v>
      </c>
      <c r="D146" s="60">
        <v>0</v>
      </c>
      <c r="E146" s="60">
        <v>0</v>
      </c>
      <c r="F146" s="60">
        <v>0</v>
      </c>
      <c r="G146" s="60">
        <v>74029</v>
      </c>
      <c r="H146" s="60">
        <v>39029</v>
      </c>
      <c r="I146" s="60">
        <v>10681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4">
        <f>_xlfn.IFNA(VLOOKUP(A146,cf!$A$10:$D$93,4,FALSE),)</f>
        <v>0</v>
      </c>
      <c r="Q146" s="4"/>
      <c r="R146" s="4"/>
      <c r="S146" s="4"/>
    </row>
    <row r="147" spans="1:22" ht="15.75" thickBot="1" x14ac:dyDescent="0.3">
      <c r="A147" s="1" t="s">
        <v>154</v>
      </c>
      <c r="B147" s="5" t="s">
        <v>155</v>
      </c>
      <c r="C147" s="4">
        <f>_xlfn.IFNA(VLOOKUP(A147,'Op Budget 2016'!$C$15:$Q$53,15,FALSE),)</f>
        <v>0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4">
        <f>_xlfn.IFNA(VLOOKUP(A147,cf!$A$10:$D$93,4,FALSE),)</f>
        <v>-15419.53</v>
      </c>
      <c r="Q147" s="4"/>
      <c r="R147" s="4">
        <v>-36550.06</v>
      </c>
      <c r="S147" s="4">
        <v>0</v>
      </c>
    </row>
    <row r="148" spans="1:22" s="135" customFormat="1" x14ac:dyDescent="0.25">
      <c r="A148" s="6" t="s">
        <v>156</v>
      </c>
      <c r="B148" s="3" t="s">
        <v>157</v>
      </c>
      <c r="C148" s="133">
        <f>SUM(C145:C147)</f>
        <v>171739</v>
      </c>
      <c r="D148" s="133">
        <f t="shared" ref="D148:O148" si="21">SUM(D145:D147)</f>
        <v>0</v>
      </c>
      <c r="E148" s="133">
        <f t="shared" si="21"/>
        <v>0</v>
      </c>
      <c r="F148" s="133">
        <f t="shared" si="21"/>
        <v>0</v>
      </c>
      <c r="G148" s="133">
        <f t="shared" si="21"/>
        <v>122029</v>
      </c>
      <c r="H148" s="133">
        <f t="shared" si="21"/>
        <v>39029</v>
      </c>
      <c r="I148" s="133">
        <f t="shared" si="21"/>
        <v>10681</v>
      </c>
      <c r="J148" s="133">
        <f t="shared" si="21"/>
        <v>0</v>
      </c>
      <c r="K148" s="133">
        <f t="shared" si="21"/>
        <v>0</v>
      </c>
      <c r="L148" s="133">
        <f t="shared" si="21"/>
        <v>0</v>
      </c>
      <c r="M148" s="133">
        <f t="shared" si="21"/>
        <v>0</v>
      </c>
      <c r="N148" s="133">
        <f t="shared" si="21"/>
        <v>0</v>
      </c>
      <c r="O148" s="133">
        <f t="shared" si="21"/>
        <v>0</v>
      </c>
      <c r="P148" s="133">
        <f>SUM(P145:P147)</f>
        <v>-15419.53</v>
      </c>
      <c r="Q148" s="133"/>
      <c r="R148" s="133">
        <v>-842962.92</v>
      </c>
      <c r="S148" s="133">
        <v>0</v>
      </c>
    </row>
    <row r="149" spans="1:22" ht="15.75" thickBot="1" x14ac:dyDescent="0.3">
      <c r="A149" s="1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22" s="135" customFormat="1" x14ac:dyDescent="0.25">
      <c r="A150" s="6" t="s">
        <v>158</v>
      </c>
      <c r="B150" s="3" t="s">
        <v>159</v>
      </c>
      <c r="C150" s="133">
        <f>SUM(C148,C142,C136)</f>
        <v>255403</v>
      </c>
      <c r="D150" s="133">
        <f t="shared" ref="D150:O150" si="22">SUM(D148,D142,D136)</f>
        <v>6972</v>
      </c>
      <c r="E150" s="133">
        <f t="shared" si="22"/>
        <v>6972</v>
      </c>
      <c r="F150" s="133">
        <f t="shared" si="22"/>
        <v>6972</v>
      </c>
      <c r="G150" s="133">
        <f t="shared" si="22"/>
        <v>129001</v>
      </c>
      <c r="H150" s="133">
        <f t="shared" si="22"/>
        <v>46001</v>
      </c>
      <c r="I150" s="133">
        <f t="shared" si="22"/>
        <v>17653</v>
      </c>
      <c r="J150" s="133">
        <f t="shared" si="22"/>
        <v>6972</v>
      </c>
      <c r="K150" s="133">
        <f t="shared" si="22"/>
        <v>6972</v>
      </c>
      <c r="L150" s="133">
        <f t="shared" si="22"/>
        <v>6972</v>
      </c>
      <c r="M150" s="133">
        <f t="shared" si="22"/>
        <v>6972</v>
      </c>
      <c r="N150" s="133">
        <f t="shared" si="22"/>
        <v>6972</v>
      </c>
      <c r="O150" s="133">
        <f t="shared" si="22"/>
        <v>6972</v>
      </c>
      <c r="P150" s="133">
        <f>SUM(P148,P142,P136)</f>
        <v>-37299.369999999995</v>
      </c>
      <c r="Q150" s="133"/>
      <c r="R150" s="133">
        <v>-845991.98</v>
      </c>
      <c r="S150" s="133">
        <v>0</v>
      </c>
    </row>
    <row r="151" spans="1:22" x14ac:dyDescent="0.25">
      <c r="A151" s="1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22" x14ac:dyDescent="0.25">
      <c r="A152" s="1" t="s">
        <v>160</v>
      </c>
      <c r="B152" s="5" t="s">
        <v>161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22" x14ac:dyDescent="0.25">
      <c r="A153" s="1" t="s">
        <v>311</v>
      </c>
      <c r="B153" s="5" t="s">
        <v>434</v>
      </c>
      <c r="C153" s="4">
        <f>SUM(D153:O153)</f>
        <v>52566.5</v>
      </c>
      <c r="D153" s="60">
        <v>0</v>
      </c>
      <c r="E153" s="60">
        <v>0</v>
      </c>
      <c r="F153" s="60">
        <v>0</v>
      </c>
      <c r="G153" s="60">
        <v>5763.2800000000007</v>
      </c>
      <c r="H153" s="60">
        <v>5782.49</v>
      </c>
      <c r="I153" s="60">
        <v>5801.76</v>
      </c>
      <c r="J153" s="60">
        <v>5821.1</v>
      </c>
      <c r="K153" s="60">
        <v>5840.51</v>
      </c>
      <c r="L153" s="60">
        <v>5859.9700000000012</v>
      </c>
      <c r="M153" s="60">
        <v>5879.51</v>
      </c>
      <c r="N153" s="60">
        <v>5899.1100000000006</v>
      </c>
      <c r="O153" s="60">
        <v>5918.77</v>
      </c>
      <c r="P153" s="9"/>
      <c r="Q153" s="9"/>
      <c r="R153" s="9"/>
      <c r="S153" s="9"/>
    </row>
    <row r="154" spans="1:22" x14ac:dyDescent="0.25">
      <c r="A154" s="1" t="s">
        <v>162</v>
      </c>
      <c r="B154" s="5" t="s">
        <v>163</v>
      </c>
      <c r="C154" s="4">
        <f>_xlfn.IFNA(VLOOKUP(A154,'Op Budget 2016'!$C$15:$Q$53,15,FALSE),)</f>
        <v>0</v>
      </c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4">
        <f>_xlfn.IFNA(VLOOKUP(A154,cf!$A$10:$D$93,4,FALSE),)</f>
        <v>-426.72</v>
      </c>
      <c r="Q154" s="9"/>
      <c r="R154" s="9"/>
      <c r="S154" s="9"/>
    </row>
    <row r="155" spans="1:22" x14ac:dyDescent="0.25">
      <c r="A155" s="1" t="s">
        <v>164</v>
      </c>
      <c r="B155" s="5" t="s">
        <v>165</v>
      </c>
      <c r="C155" s="4">
        <f>_xlfn.IFNA(VLOOKUP(A155,'Op Budget 2016'!$C$15:$Q$53,15,FALSE),)</f>
        <v>0</v>
      </c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4">
        <f>_xlfn.IFNA(VLOOKUP(A155,cf!$A$10:$D$93,4,FALSE),)</f>
        <v>3355</v>
      </c>
      <c r="Q155" s="4"/>
      <c r="R155" s="4">
        <v>-15666.66</v>
      </c>
      <c r="S155" s="4">
        <v>0</v>
      </c>
      <c r="U155" s="1"/>
      <c r="V155" s="5"/>
    </row>
    <row r="156" spans="1:22" x14ac:dyDescent="0.25">
      <c r="A156" s="1" t="s">
        <v>228</v>
      </c>
      <c r="B156" s="5" t="s">
        <v>227</v>
      </c>
      <c r="C156" s="4">
        <f>_xlfn.IFNA(VLOOKUP(A156,'Op Budget 2016'!$C$15:$Q$53,15,FALSE),)</f>
        <v>0</v>
      </c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4">
        <f>_xlfn.IFNA(VLOOKUP(A156,cf!$A$10:$D$93,4,FALSE),)</f>
        <v>6710</v>
      </c>
      <c r="Q156" s="4"/>
      <c r="R156" s="4"/>
      <c r="S156" s="4"/>
      <c r="U156" s="1"/>
      <c r="V156" s="5"/>
    </row>
    <row r="157" spans="1:22" x14ac:dyDescent="0.25">
      <c r="A157" s="1" t="s">
        <v>166</v>
      </c>
      <c r="B157" s="5" t="s">
        <v>167</v>
      </c>
      <c r="C157" s="4">
        <f>_xlfn.IFNA(VLOOKUP(A157,'Op Budget 2016'!$C$15:$Q$53,15,FALSE),)</f>
        <v>0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4">
        <f>_xlfn.IFNA(VLOOKUP(A157,cf!$A$10:$D$93,4,FALSE),)</f>
        <v>0</v>
      </c>
      <c r="Q157" s="4"/>
      <c r="R157" s="4">
        <v>18275</v>
      </c>
      <c r="S157" s="4">
        <v>0</v>
      </c>
    </row>
    <row r="158" spans="1:22" ht="15.75" thickBot="1" x14ac:dyDescent="0.3">
      <c r="A158" s="1" t="s">
        <v>168</v>
      </c>
      <c r="B158" s="5" t="s">
        <v>169</v>
      </c>
      <c r="C158" s="4">
        <f>_xlfn.IFNA(VLOOKUP(A158,'Op Budget 2016'!$C$15:$Q$53,15,FALSE),)</f>
        <v>0</v>
      </c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4">
        <f>_xlfn.IFNA(VLOOKUP(A158,cf!$A$10:$D$93,4,FALSE),)</f>
        <v>0</v>
      </c>
      <c r="Q158" s="4"/>
      <c r="R158" s="4">
        <v>-400</v>
      </c>
      <c r="S158" s="4">
        <v>0</v>
      </c>
    </row>
    <row r="159" spans="1:22" s="135" customFormat="1" x14ac:dyDescent="0.25">
      <c r="A159" s="6" t="s">
        <v>170</v>
      </c>
      <c r="B159" s="3" t="s">
        <v>171</v>
      </c>
      <c r="C159" s="133">
        <f>SUM(C153:C158)</f>
        <v>52566.5</v>
      </c>
      <c r="D159" s="133">
        <f t="shared" ref="D159:O159" si="23">SUM(D153:D158)</f>
        <v>0</v>
      </c>
      <c r="E159" s="133">
        <f t="shared" si="23"/>
        <v>0</v>
      </c>
      <c r="F159" s="133">
        <f t="shared" si="23"/>
        <v>0</v>
      </c>
      <c r="G159" s="133">
        <f t="shared" si="23"/>
        <v>5763.2800000000007</v>
      </c>
      <c r="H159" s="133">
        <f t="shared" si="23"/>
        <v>5782.49</v>
      </c>
      <c r="I159" s="133">
        <f t="shared" si="23"/>
        <v>5801.76</v>
      </c>
      <c r="J159" s="133">
        <f t="shared" si="23"/>
        <v>5821.1</v>
      </c>
      <c r="K159" s="133">
        <f t="shared" si="23"/>
        <v>5840.51</v>
      </c>
      <c r="L159" s="133">
        <f t="shared" si="23"/>
        <v>5859.9700000000012</v>
      </c>
      <c r="M159" s="133">
        <f t="shared" si="23"/>
        <v>5879.51</v>
      </c>
      <c r="N159" s="133">
        <f t="shared" si="23"/>
        <v>5899.1100000000006</v>
      </c>
      <c r="O159" s="133">
        <f t="shared" si="23"/>
        <v>5918.77</v>
      </c>
      <c r="P159" s="133">
        <f>SUM(P154:P158)</f>
        <v>9638.2799999999988</v>
      </c>
      <c r="Q159" s="133"/>
      <c r="R159" s="133">
        <v>2208.34</v>
      </c>
      <c r="S159" s="133">
        <v>0</v>
      </c>
    </row>
    <row r="160" spans="1:22" x14ac:dyDescent="0.25">
      <c r="A160" s="1"/>
      <c r="B160" s="5"/>
      <c r="C160" s="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4"/>
      <c r="Q160" s="14"/>
      <c r="R160" s="14"/>
      <c r="S160" s="14"/>
    </row>
    <row r="161" spans="1:19" x14ac:dyDescent="0.25">
      <c r="A161" s="1" t="s">
        <v>172</v>
      </c>
      <c r="B161" s="5" t="s">
        <v>173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 x14ac:dyDescent="0.25">
      <c r="A162" s="1" t="s">
        <v>174</v>
      </c>
      <c r="B162" s="5" t="s">
        <v>175</v>
      </c>
      <c r="C162" s="4">
        <f>_xlfn.IFNA(VLOOKUP(A162,'Op Budget 2016'!$C$15:$Q$53,15,FALSE),)</f>
        <v>0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4">
        <f>_xlfn.IFNA(VLOOKUP(A162,cf!$A$10:$D$93,4,FALSE),)</f>
        <v>0</v>
      </c>
      <c r="Q162" s="4"/>
      <c r="R162" s="4">
        <v>-11688</v>
      </c>
      <c r="S162" s="4">
        <v>0</v>
      </c>
    </row>
    <row r="163" spans="1:19" x14ac:dyDescent="0.25">
      <c r="A163" s="1" t="s">
        <v>176</v>
      </c>
      <c r="B163" s="5" t="s">
        <v>177</v>
      </c>
      <c r="C163" s="4">
        <f>_xlfn.IFNA(VLOOKUP(A163,'Op Budget 2016'!$C$15:$Q$53,15,FALSE),)</f>
        <v>0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4">
        <f>_xlfn.IFNA(VLOOKUP(A163,cf!$A$10:$D$93,4,FALSE),)</f>
        <v>0</v>
      </c>
      <c r="Q163" s="4"/>
      <c r="R163" s="4">
        <v>-255588</v>
      </c>
      <c r="S163" s="4">
        <v>0</v>
      </c>
    </row>
    <row r="164" spans="1:19" x14ac:dyDescent="0.25">
      <c r="A164" s="1" t="s">
        <v>178</v>
      </c>
      <c r="B164" s="5" t="s">
        <v>179</v>
      </c>
      <c r="C164" s="4">
        <f>_xlfn.IFNA(VLOOKUP(A164,'Op Budget 2016'!$C$15:$Q$53,15,FALSE),)</f>
        <v>0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4">
        <f>_xlfn.IFNA(VLOOKUP(A164,cf!$A$10:$D$93,4,FALSE),)</f>
        <v>0</v>
      </c>
      <c r="Q164" s="4"/>
      <c r="R164" s="4">
        <v>-255588</v>
      </c>
      <c r="S164" s="4">
        <v>0</v>
      </c>
    </row>
    <row r="165" spans="1:19" ht="15.75" thickBot="1" x14ac:dyDescent="0.3">
      <c r="A165" s="1" t="s">
        <v>180</v>
      </c>
      <c r="B165" s="5" t="s">
        <v>181</v>
      </c>
      <c r="C165" s="4">
        <f>_xlfn.IFNA(VLOOKUP(A165,'Op Budget 2016'!$C$15:$Q$53,15,FALSE),)</f>
        <v>0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4">
        <f>_xlfn.IFNA(VLOOKUP(A165,cf!$A$10:$D$93,4,FALSE),)</f>
        <v>0</v>
      </c>
      <c r="Q165" s="4"/>
      <c r="R165" s="4">
        <v>-461050</v>
      </c>
      <c r="S165" s="4">
        <v>0</v>
      </c>
    </row>
    <row r="166" spans="1:19" s="135" customFormat="1" x14ac:dyDescent="0.25">
      <c r="A166" s="6" t="s">
        <v>182</v>
      </c>
      <c r="B166" s="3" t="s">
        <v>183</v>
      </c>
      <c r="C166" s="133">
        <f>SUM(C162:C165)</f>
        <v>0</v>
      </c>
      <c r="D166" s="133">
        <f t="shared" ref="D166:O166" si="24">SUM(D162:D165)</f>
        <v>0</v>
      </c>
      <c r="E166" s="133">
        <f t="shared" si="24"/>
        <v>0</v>
      </c>
      <c r="F166" s="133">
        <f t="shared" si="24"/>
        <v>0</v>
      </c>
      <c r="G166" s="133">
        <f t="shared" si="24"/>
        <v>0</v>
      </c>
      <c r="H166" s="133">
        <f t="shared" si="24"/>
        <v>0</v>
      </c>
      <c r="I166" s="133">
        <f t="shared" si="24"/>
        <v>0</v>
      </c>
      <c r="J166" s="133">
        <f t="shared" si="24"/>
        <v>0</v>
      </c>
      <c r="K166" s="133">
        <f t="shared" si="24"/>
        <v>0</v>
      </c>
      <c r="L166" s="133">
        <f t="shared" si="24"/>
        <v>0</v>
      </c>
      <c r="M166" s="133">
        <f t="shared" si="24"/>
        <v>0</v>
      </c>
      <c r="N166" s="133">
        <f t="shared" si="24"/>
        <v>0</v>
      </c>
      <c r="O166" s="133">
        <f t="shared" si="24"/>
        <v>0</v>
      </c>
      <c r="P166" s="133">
        <v>0</v>
      </c>
      <c r="Q166" s="133"/>
      <c r="R166" s="133">
        <v>-983914</v>
      </c>
      <c r="S166" s="133">
        <v>0</v>
      </c>
    </row>
    <row r="167" spans="1:19" x14ac:dyDescent="0.25">
      <c r="A167" s="1"/>
      <c r="B167" s="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19" x14ac:dyDescent="0.25">
      <c r="A168" s="1" t="s">
        <v>184</v>
      </c>
      <c r="B168" s="5" t="s">
        <v>185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 x14ac:dyDescent="0.25">
      <c r="A169" s="1" t="s">
        <v>186</v>
      </c>
      <c r="B169" s="5" t="s">
        <v>187</v>
      </c>
      <c r="C169" s="4">
        <f>SUM(D169:O169)</f>
        <v>1200</v>
      </c>
      <c r="D169" s="60"/>
      <c r="E169" s="60"/>
      <c r="F169" s="60"/>
      <c r="G169" s="60">
        <v>1200</v>
      </c>
      <c r="H169" s="60"/>
      <c r="I169" s="60"/>
      <c r="J169" s="60"/>
      <c r="K169" s="60"/>
      <c r="L169" s="60"/>
      <c r="M169" s="60"/>
      <c r="N169" s="60"/>
      <c r="O169" s="60"/>
      <c r="P169" s="4">
        <f>_xlfn.IFNA(VLOOKUP(A169,cf!$A$10:$D$93,4,FALSE),)</f>
        <v>0</v>
      </c>
      <c r="Q169" s="4"/>
      <c r="R169" s="4">
        <v>5000</v>
      </c>
      <c r="S169" s="4">
        <v>0</v>
      </c>
    </row>
    <row r="170" spans="1:19" x14ac:dyDescent="0.25">
      <c r="A170" s="1" t="s">
        <v>188</v>
      </c>
      <c r="B170" s="5" t="s">
        <v>189</v>
      </c>
      <c r="C170" s="4">
        <f t="shared" ref="C170:C172" si="25">SUM(D170:O170)</f>
        <v>29400</v>
      </c>
      <c r="D170" s="60"/>
      <c r="E170" s="60"/>
      <c r="F170" s="60"/>
      <c r="G170" s="60">
        <v>29400</v>
      </c>
      <c r="H170" s="60"/>
      <c r="I170" s="60"/>
      <c r="J170" s="60"/>
      <c r="K170" s="60"/>
      <c r="L170" s="60"/>
      <c r="M170" s="60"/>
      <c r="N170" s="60"/>
      <c r="O170" s="60"/>
      <c r="P170" s="4">
        <f>_xlfn.IFNA(VLOOKUP(A170,cf!$A$10:$D$93,4,FALSE),)</f>
        <v>0</v>
      </c>
      <c r="Q170" s="4"/>
      <c r="R170" s="4">
        <v>123052</v>
      </c>
      <c r="S170" s="4">
        <v>0</v>
      </c>
    </row>
    <row r="171" spans="1:19" x14ac:dyDescent="0.25">
      <c r="A171" s="1" t="s">
        <v>190</v>
      </c>
      <c r="B171" s="5" t="s">
        <v>191</v>
      </c>
      <c r="C171" s="4">
        <f t="shared" si="25"/>
        <v>29400</v>
      </c>
      <c r="D171" s="60"/>
      <c r="E171" s="60"/>
      <c r="F171" s="60"/>
      <c r="G171" s="60">
        <v>29400</v>
      </c>
      <c r="H171" s="60"/>
      <c r="I171" s="60"/>
      <c r="J171" s="60"/>
      <c r="K171" s="60"/>
      <c r="L171" s="60"/>
      <c r="M171" s="60"/>
      <c r="N171" s="60"/>
      <c r="O171" s="60"/>
      <c r="P171" s="4">
        <f>_xlfn.IFNA(VLOOKUP(A171,cf!$A$10:$D$93,4,FALSE),)</f>
        <v>0</v>
      </c>
      <c r="Q171" s="4"/>
      <c r="R171" s="4">
        <v>123052</v>
      </c>
      <c r="S171" s="4">
        <v>0</v>
      </c>
    </row>
    <row r="172" spans="1:19" ht="15.75" thickBot="1" x14ac:dyDescent="0.3">
      <c r="A172" s="1" t="s">
        <v>192</v>
      </c>
      <c r="B172" s="5" t="s">
        <v>193</v>
      </c>
      <c r="C172" s="4">
        <f t="shared" si="25"/>
        <v>60000</v>
      </c>
      <c r="D172" s="60"/>
      <c r="E172" s="60"/>
      <c r="F172" s="60"/>
      <c r="G172" s="60">
        <v>60000</v>
      </c>
      <c r="H172" s="60"/>
      <c r="I172" s="60"/>
      <c r="J172" s="60"/>
      <c r="K172" s="60"/>
      <c r="L172" s="60"/>
      <c r="M172" s="60"/>
      <c r="N172" s="60"/>
      <c r="O172" s="60"/>
      <c r="P172" s="4">
        <f>_xlfn.IFNA(VLOOKUP(A172,cf!$A$10:$D$93,4,FALSE),)</f>
        <v>0</v>
      </c>
      <c r="Q172" s="4"/>
      <c r="R172" s="4">
        <v>189294</v>
      </c>
      <c r="S172" s="4">
        <v>0</v>
      </c>
    </row>
    <row r="173" spans="1:19" s="135" customFormat="1" x14ac:dyDescent="0.25">
      <c r="A173" s="6" t="s">
        <v>194</v>
      </c>
      <c r="B173" s="3" t="s">
        <v>195</v>
      </c>
      <c r="C173" s="133">
        <f>SUM(C169:C172)</f>
        <v>120000</v>
      </c>
      <c r="D173" s="133">
        <f t="shared" ref="D173:O173" si="26">SUM(D169:D172)</f>
        <v>0</v>
      </c>
      <c r="E173" s="133">
        <f t="shared" si="26"/>
        <v>0</v>
      </c>
      <c r="F173" s="133">
        <f t="shared" si="26"/>
        <v>0</v>
      </c>
      <c r="G173" s="133">
        <f t="shared" si="26"/>
        <v>120000</v>
      </c>
      <c r="H173" s="133">
        <f t="shared" si="26"/>
        <v>0</v>
      </c>
      <c r="I173" s="133">
        <f t="shared" si="26"/>
        <v>0</v>
      </c>
      <c r="J173" s="133">
        <f t="shared" si="26"/>
        <v>0</v>
      </c>
      <c r="K173" s="133">
        <f t="shared" si="26"/>
        <v>0</v>
      </c>
      <c r="L173" s="133">
        <f t="shared" si="26"/>
        <v>0</v>
      </c>
      <c r="M173" s="133">
        <f t="shared" si="26"/>
        <v>0</v>
      </c>
      <c r="N173" s="133">
        <f t="shared" si="26"/>
        <v>0</v>
      </c>
      <c r="O173" s="133">
        <f t="shared" si="26"/>
        <v>0</v>
      </c>
      <c r="P173" s="133">
        <v>0</v>
      </c>
      <c r="Q173" s="133"/>
      <c r="R173" s="133">
        <v>440398</v>
      </c>
      <c r="S173" s="133">
        <v>0</v>
      </c>
    </row>
    <row r="174" spans="1:19" x14ac:dyDescent="0.25">
      <c r="A174" s="1"/>
      <c r="B174" s="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19" x14ac:dyDescent="0.25">
      <c r="A175" s="1" t="s">
        <v>107</v>
      </c>
      <c r="B175" s="5" t="s">
        <v>196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 x14ac:dyDescent="0.25">
      <c r="A176" s="1" t="s">
        <v>109</v>
      </c>
      <c r="B176" s="5" t="s">
        <v>110</v>
      </c>
      <c r="C176" s="4">
        <f>_xlfn.IFNA(VLOOKUP(A176,'Op Budget 2016'!$C$15:$Q$53,15,FALSE),)</f>
        <v>0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4">
        <f>_xlfn.IFNA(VLOOKUP(A176,cf!$A$10:$D$93,4,FALSE),)</f>
        <v>0</v>
      </c>
      <c r="Q176" s="4"/>
      <c r="R176" s="4">
        <v>37826</v>
      </c>
      <c r="S176" s="4">
        <v>0</v>
      </c>
    </row>
    <row r="177" spans="1:22" x14ac:dyDescent="0.25">
      <c r="A177" s="1" t="s">
        <v>111</v>
      </c>
      <c r="B177" s="5" t="s">
        <v>112</v>
      </c>
      <c r="C177" s="4">
        <f>_xlfn.IFNA(VLOOKUP(A177,'Op Budget 2016'!$C$15:$Q$53,15,FALSE),)</f>
        <v>0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4">
        <f>_xlfn.IFNA(VLOOKUP(A177,cf!$A$10:$D$93,4,FALSE),)</f>
        <v>0</v>
      </c>
      <c r="Q177" s="4"/>
      <c r="R177" s="4">
        <v>13179</v>
      </c>
      <c r="S177" s="4">
        <v>0</v>
      </c>
    </row>
    <row r="178" spans="1:22" x14ac:dyDescent="0.25">
      <c r="A178" s="1" t="s">
        <v>113</v>
      </c>
      <c r="B178" s="5" t="s">
        <v>114</v>
      </c>
      <c r="C178" s="4">
        <f>_xlfn.IFNA(VLOOKUP(A178,'Op Budget 2016'!$C$15:$Q$53,15,FALSE),)</f>
        <v>0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4">
        <f>_xlfn.IFNA(VLOOKUP(A178,cf!$A$10:$D$93,4,FALSE),)</f>
        <v>0</v>
      </c>
      <c r="Q178" s="4"/>
      <c r="R178" s="4">
        <v>17065</v>
      </c>
      <c r="S178" s="4">
        <v>0</v>
      </c>
    </row>
    <row r="179" spans="1:22" ht="15.75" thickBot="1" x14ac:dyDescent="0.3">
      <c r="A179" s="1" t="s">
        <v>125</v>
      </c>
      <c r="B179" s="5" t="s">
        <v>197</v>
      </c>
      <c r="C179" s="4">
        <f>_xlfn.IFNA(VLOOKUP(A179,'Op Budget 2016'!$C$15:$Q$53,15,FALSE),)</f>
        <v>0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4">
        <f>_xlfn.IFNA(VLOOKUP(A179,cf!$A$10:$D$93,4,FALSE),)</f>
        <v>0</v>
      </c>
      <c r="Q179" s="4"/>
      <c r="R179" s="4">
        <v>4343</v>
      </c>
      <c r="S179" s="4">
        <v>0</v>
      </c>
    </row>
    <row r="180" spans="1:22" s="135" customFormat="1" x14ac:dyDescent="0.25">
      <c r="A180" s="6" t="s">
        <v>198</v>
      </c>
      <c r="B180" s="3" t="s">
        <v>199</v>
      </c>
      <c r="C180" s="133">
        <f>SUM(C176:C179)</f>
        <v>0</v>
      </c>
      <c r="D180" s="133">
        <f t="shared" ref="D180:O180" si="27">SUM(D176:D179)</f>
        <v>0</v>
      </c>
      <c r="E180" s="133">
        <f t="shared" si="27"/>
        <v>0</v>
      </c>
      <c r="F180" s="133">
        <f t="shared" si="27"/>
        <v>0</v>
      </c>
      <c r="G180" s="133">
        <f t="shared" si="27"/>
        <v>0</v>
      </c>
      <c r="H180" s="133">
        <f t="shared" si="27"/>
        <v>0</v>
      </c>
      <c r="I180" s="133">
        <f t="shared" si="27"/>
        <v>0</v>
      </c>
      <c r="J180" s="133">
        <f t="shared" si="27"/>
        <v>0</v>
      </c>
      <c r="K180" s="133">
        <f t="shared" si="27"/>
        <v>0</v>
      </c>
      <c r="L180" s="133">
        <f t="shared" si="27"/>
        <v>0</v>
      </c>
      <c r="M180" s="133">
        <f t="shared" si="27"/>
        <v>0</v>
      </c>
      <c r="N180" s="133">
        <f t="shared" si="27"/>
        <v>0</v>
      </c>
      <c r="O180" s="133">
        <f t="shared" si="27"/>
        <v>0</v>
      </c>
      <c r="P180" s="133">
        <v>0</v>
      </c>
      <c r="Q180" s="133"/>
      <c r="R180" s="133">
        <v>72413</v>
      </c>
      <c r="S180" s="133">
        <v>0</v>
      </c>
      <c r="V180" s="136"/>
    </row>
    <row r="181" spans="1:22" ht="15.75" thickBot="1" x14ac:dyDescent="0.3">
      <c r="A181" s="1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22" s="135" customFormat="1" x14ac:dyDescent="0.25">
      <c r="A182" s="6"/>
      <c r="B182" s="3" t="s">
        <v>200</v>
      </c>
      <c r="C182" s="133">
        <f>-C136+C142-C148-C159+C166-C173-C180</f>
        <v>-427969.5</v>
      </c>
      <c r="D182" s="133">
        <f t="shared" ref="D182:P182" si="28">-D136+D142-D148-D159+D166-D173-D180</f>
        <v>-6972</v>
      </c>
      <c r="E182" s="133">
        <f t="shared" si="28"/>
        <v>-6972</v>
      </c>
      <c r="F182" s="133">
        <f t="shared" si="28"/>
        <v>-6972</v>
      </c>
      <c r="G182" s="133">
        <f>-G136+G142-G148-G159+G166-G173-G180</f>
        <v>-254764.28</v>
      </c>
      <c r="H182" s="133">
        <f t="shared" si="28"/>
        <v>-51783.49</v>
      </c>
      <c r="I182" s="133">
        <f t="shared" si="28"/>
        <v>-23454.760000000002</v>
      </c>
      <c r="J182" s="133">
        <f t="shared" si="28"/>
        <v>-12793.1</v>
      </c>
      <c r="K182" s="133">
        <f t="shared" si="28"/>
        <v>-12812.51</v>
      </c>
      <c r="L182" s="133">
        <f t="shared" si="28"/>
        <v>-12831.970000000001</v>
      </c>
      <c r="M182" s="133">
        <f t="shared" si="28"/>
        <v>-12851.51</v>
      </c>
      <c r="N182" s="133">
        <f t="shared" si="28"/>
        <v>-12871.11</v>
      </c>
      <c r="O182" s="133">
        <f t="shared" si="28"/>
        <v>-12890.77</v>
      </c>
      <c r="P182" s="133">
        <f t="shared" si="28"/>
        <v>11791.090000000004</v>
      </c>
      <c r="Q182" s="133"/>
      <c r="R182" s="133">
        <f>SUM(R150,R159,R166,R173,-R180)</f>
        <v>-1459712.6400000001</v>
      </c>
      <c r="S182" s="133">
        <v>0</v>
      </c>
    </row>
    <row r="183" spans="1:22" s="135" customFormat="1" ht="15.75" thickBot="1" x14ac:dyDescent="0.3">
      <c r="A183" s="6"/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22" s="135" customFormat="1" x14ac:dyDescent="0.25">
      <c r="A184" s="6"/>
      <c r="B184" s="3" t="s">
        <v>201</v>
      </c>
      <c r="C184" s="133">
        <f>SUM(C182,C132)</f>
        <v>-110421.45701006497</v>
      </c>
      <c r="D184" s="133">
        <f>SUM(D182,D132)</f>
        <v>-25659.385500000004</v>
      </c>
      <c r="E184" s="133">
        <f>SUM(E182,E132)</f>
        <v>8511.3645000000033</v>
      </c>
      <c r="F184" s="133">
        <f>SUM(F182,F132)</f>
        <v>6308.3644999999997</v>
      </c>
      <c r="G184" s="133">
        <f t="shared" ref="G184:O184" si="29">SUM(G182,G132)</f>
        <v>-126050.66216666666</v>
      </c>
      <c r="H184" s="133">
        <f t="shared" si="29"/>
        <v>5427.2523333333447</v>
      </c>
      <c r="I184" s="133">
        <f t="shared" si="29"/>
        <v>22116.172830817079</v>
      </c>
      <c r="J184" s="133">
        <f t="shared" si="29"/>
        <v>-10876.662166666678</v>
      </c>
      <c r="K184" s="133">
        <f t="shared" si="29"/>
        <v>4245.087833333333</v>
      </c>
      <c r="L184" s="133">
        <f t="shared" si="29"/>
        <v>7247.0878333333349</v>
      </c>
      <c r="M184" s="133">
        <f t="shared" si="29"/>
        <v>-14326.577169182912</v>
      </c>
      <c r="N184" s="133">
        <f t="shared" si="29"/>
        <v>4739.2523333333338</v>
      </c>
      <c r="O184" s="133">
        <f t="shared" si="29"/>
        <v>7896.2578283008334</v>
      </c>
      <c r="P184" s="133">
        <f ca="1">SUM(P182,P132)</f>
        <v>33684.33</v>
      </c>
      <c r="Q184" s="133"/>
      <c r="R184" s="133">
        <f>SUM(R182,R132)</f>
        <v>-1630542.6700000002</v>
      </c>
      <c r="S184" s="133">
        <v>0</v>
      </c>
    </row>
    <row r="185" spans="1:22" s="135" customFormat="1" x14ac:dyDescent="0.25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22" s="135" customFormat="1" x14ac:dyDescent="0.25">
      <c r="A186" s="6"/>
      <c r="B186" s="3" t="s">
        <v>438</v>
      </c>
      <c r="C186" s="61"/>
      <c r="D186" s="59">
        <v>84181</v>
      </c>
      <c r="E186" s="59">
        <f>D187</f>
        <v>89348</v>
      </c>
      <c r="F186" s="59">
        <f>E187</f>
        <v>97999</v>
      </c>
      <c r="G186" s="59">
        <f t="shared" ref="G186:O186" si="30">F187</f>
        <v>104307.3645</v>
      </c>
      <c r="H186" s="59">
        <f t="shared" si="30"/>
        <v>420.45233333333454</v>
      </c>
      <c r="I186" s="59">
        <f t="shared" si="30"/>
        <v>5847.7046666666793</v>
      </c>
      <c r="J186" s="59">
        <f t="shared" si="30"/>
        <v>27963.877497483758</v>
      </c>
      <c r="K186" s="59">
        <f t="shared" si="30"/>
        <v>39250.965330817082</v>
      </c>
      <c r="L186" s="59">
        <f t="shared" si="30"/>
        <v>43496.053164150413</v>
      </c>
      <c r="M186" s="59">
        <f t="shared" si="30"/>
        <v>50743.140997483744</v>
      </c>
      <c r="N186" s="59">
        <f t="shared" si="30"/>
        <v>58580.31382830083</v>
      </c>
      <c r="O186" s="59">
        <f t="shared" si="30"/>
        <v>63319.566161634168</v>
      </c>
      <c r="P186" s="61"/>
      <c r="Q186" s="61"/>
      <c r="R186" s="61"/>
      <c r="S186" s="61"/>
    </row>
    <row r="187" spans="1:22" s="135" customFormat="1" x14ac:dyDescent="0.25">
      <c r="A187" s="6"/>
      <c r="B187" s="3" t="s">
        <v>439</v>
      </c>
      <c r="C187" s="62"/>
      <c r="D187" s="62">
        <v>89348</v>
      </c>
      <c r="E187" s="62">
        <v>97999</v>
      </c>
      <c r="F187" s="62">
        <f>F186+F184+F88</f>
        <v>104307.3645</v>
      </c>
      <c r="G187" s="62">
        <f t="shared" ref="G187:O187" si="31">G186+G184+G88</f>
        <v>420.45233333333454</v>
      </c>
      <c r="H187" s="62">
        <f t="shared" si="31"/>
        <v>5847.7046666666793</v>
      </c>
      <c r="I187" s="62">
        <f t="shared" si="31"/>
        <v>27963.877497483758</v>
      </c>
      <c r="J187" s="62">
        <f t="shared" si="31"/>
        <v>39250.965330817082</v>
      </c>
      <c r="K187" s="62">
        <f t="shared" si="31"/>
        <v>43496.053164150413</v>
      </c>
      <c r="L187" s="62">
        <f t="shared" si="31"/>
        <v>50743.140997483744</v>
      </c>
      <c r="M187" s="62">
        <f t="shared" si="31"/>
        <v>58580.31382830083</v>
      </c>
      <c r="N187" s="62">
        <f t="shared" si="31"/>
        <v>63319.566161634168</v>
      </c>
      <c r="O187" s="62">
        <f t="shared" si="31"/>
        <v>71215.823989935001</v>
      </c>
      <c r="P187" s="62"/>
      <c r="Q187" s="62"/>
      <c r="R187" s="62"/>
      <c r="S187" s="61"/>
    </row>
    <row r="188" spans="1:22" s="135" customFormat="1" x14ac:dyDescent="0.25">
      <c r="A188" s="6"/>
      <c r="B188" s="3"/>
      <c r="C188" s="6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6"/>
    </row>
    <row r="189" spans="1:22" s="135" customFormat="1" x14ac:dyDescent="0.25">
      <c r="A189" s="6"/>
      <c r="B189" s="3"/>
      <c r="C189" s="6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4" t="s">
        <v>444</v>
      </c>
      <c r="O189" s="4">
        <f>300000-C61</f>
        <v>45000</v>
      </c>
      <c r="P189" s="2"/>
      <c r="Q189" s="2"/>
      <c r="R189" s="2"/>
      <c r="S189" s="6"/>
    </row>
    <row r="190" spans="1:22" x14ac:dyDescent="0.25">
      <c r="A190" s="1"/>
      <c r="B190" s="5"/>
      <c r="C190" s="6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445</v>
      </c>
      <c r="O190" s="139">
        <v>90000</v>
      </c>
      <c r="P190" s="4"/>
      <c r="Q190" s="4"/>
      <c r="R190" s="4"/>
      <c r="S190" s="1"/>
    </row>
    <row r="191" spans="1:22" x14ac:dyDescent="0.25">
      <c r="A191" s="5" t="s">
        <v>440</v>
      </c>
      <c r="B191" s="5"/>
      <c r="C191" s="6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"/>
    </row>
    <row r="192" spans="1:22" ht="15.75" thickBot="1" x14ac:dyDescent="0.3">
      <c r="A192" s="1"/>
      <c r="B192" s="5"/>
      <c r="C192" s="6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2" t="s">
        <v>441</v>
      </c>
      <c r="O192" s="140">
        <f>O187+O189-O190</f>
        <v>26215.823989935001</v>
      </c>
      <c r="P192" s="4"/>
      <c r="Q192" s="4"/>
      <c r="R192" s="4"/>
      <c r="S192" s="1"/>
    </row>
    <row r="193" spans="1:19" ht="15.75" thickTop="1" x14ac:dyDescent="0.25">
      <c r="A193" s="5" t="s">
        <v>442</v>
      </c>
      <c r="B193" s="3"/>
      <c r="C193" s="6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"/>
    </row>
    <row r="194" spans="1:19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1:19" x14ac:dyDescent="0.25">
      <c r="A195" s="1"/>
      <c r="B195" s="3"/>
      <c r="C195" s="6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1"/>
    </row>
    <row r="196" spans="1:19" x14ac:dyDescent="0.25">
      <c r="A196" s="1"/>
      <c r="B196" s="5"/>
      <c r="C196" s="6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"/>
    </row>
    <row r="197" spans="1:19" x14ac:dyDescent="0.25">
      <c r="A197" s="1"/>
      <c r="B197" s="5"/>
      <c r="C197" s="6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"/>
    </row>
    <row r="198" spans="1:19" x14ac:dyDescent="0.25">
      <c r="A198" s="1"/>
      <c r="B198" s="5"/>
      <c r="C198" s="6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"/>
    </row>
    <row r="199" spans="1:19" x14ac:dyDescent="0.25">
      <c r="A199" s="1"/>
      <c r="B199" s="5"/>
      <c r="C199" s="6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"/>
    </row>
    <row r="200" spans="1:19" x14ac:dyDescent="0.25">
      <c r="A200" s="1"/>
      <c r="B200" s="5"/>
      <c r="C200" s="6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"/>
    </row>
    <row r="201" spans="1:19" x14ac:dyDescent="0.25">
      <c r="A201" s="1"/>
      <c r="B201" s="3"/>
      <c r="C201" s="6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1"/>
    </row>
  </sheetData>
  <mergeCells count="6">
    <mergeCell ref="A1:S1"/>
    <mergeCell ref="A2:S2"/>
    <mergeCell ref="A3:S3"/>
    <mergeCell ref="A4:S4"/>
    <mergeCell ref="A185:S185"/>
    <mergeCell ref="A194:S194"/>
  </mergeCells>
  <printOptions gridLines="1"/>
  <pageMargins left="0.7" right="0.7" top="0.7" bottom="0.7" header="0.5" footer="0.5"/>
  <pageSetup paperSize="5" scale="31" fitToHeight="990" orientation="portrait" r:id="rId1"/>
  <headerFooter>
    <oddHeader>&amp;R&amp;B&amp;D &amp;T</oddHeader>
    <oddFooter>&amp;C&amp;B Page &amp;P of &amp;N</oddFooter>
  </headerFooter>
  <rowBreaks count="1" manualBreakCount="1">
    <brk id="78" max="16383" man="1"/>
  </rowBreaks>
  <ignoredErrors>
    <ignoredError sqref="C43 D93:O9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T15" sqref="T15"/>
    </sheetView>
  </sheetViews>
  <sheetFormatPr defaultRowHeight="15" x14ac:dyDescent="0.25"/>
  <cols>
    <col min="1" max="1" width="40.42578125" style="34" customWidth="1"/>
    <col min="2" max="2" width="9.140625" style="35"/>
    <col min="3" max="4" width="9.140625" style="113"/>
    <col min="5" max="16" width="9.140625" style="114"/>
    <col min="17" max="17" width="12.140625" style="114" bestFit="1" customWidth="1"/>
    <col min="18" max="18" width="9.140625" style="114"/>
    <col min="19" max="19" width="9.140625" style="34"/>
    <col min="20" max="20" width="65.28515625" style="34" customWidth="1"/>
    <col min="21" max="16384" width="9.140625" style="34"/>
  </cols>
  <sheetData>
    <row r="1" spans="1:20" x14ac:dyDescent="0.25">
      <c r="A1" s="15" t="s">
        <v>240</v>
      </c>
    </row>
    <row r="2" spans="1:20" x14ac:dyDescent="0.25">
      <c r="A2" s="15" t="s">
        <v>411</v>
      </c>
    </row>
    <row r="4" spans="1:20" s="115" customFormat="1" x14ac:dyDescent="0.25">
      <c r="A4" s="115" t="s">
        <v>412</v>
      </c>
      <c r="B4" s="115" t="s">
        <v>254</v>
      </c>
      <c r="C4" s="116" t="s">
        <v>413</v>
      </c>
      <c r="D4" s="116" t="s">
        <v>404</v>
      </c>
      <c r="E4" s="117">
        <v>42370</v>
      </c>
      <c r="F4" s="117">
        <v>42401</v>
      </c>
      <c r="G4" s="117">
        <v>42430</v>
      </c>
      <c r="H4" s="117">
        <v>42461</v>
      </c>
      <c r="I4" s="117">
        <v>42491</v>
      </c>
      <c r="J4" s="117">
        <v>42522</v>
      </c>
      <c r="K4" s="117">
        <v>42552</v>
      </c>
      <c r="L4" s="117">
        <v>42583</v>
      </c>
      <c r="M4" s="117">
        <v>42614</v>
      </c>
      <c r="N4" s="117">
        <v>42644</v>
      </c>
      <c r="O4" s="117">
        <v>42675</v>
      </c>
      <c r="P4" s="117">
        <v>42705</v>
      </c>
      <c r="Q4" s="118" t="s">
        <v>242</v>
      </c>
      <c r="R4" s="118" t="s">
        <v>414</v>
      </c>
      <c r="S4" s="115" t="s">
        <v>0</v>
      </c>
      <c r="T4" s="115" t="s">
        <v>243</v>
      </c>
    </row>
    <row r="6" spans="1:20" s="27" customFormat="1" x14ac:dyDescent="0.25">
      <c r="A6" s="27" t="s">
        <v>415</v>
      </c>
      <c r="B6" s="28" t="s">
        <v>245</v>
      </c>
      <c r="C6" s="119">
        <v>9384</v>
      </c>
      <c r="D6" s="120">
        <f>(P6*12)/C6</f>
        <v>18.989769820971865</v>
      </c>
      <c r="E6" s="121">
        <v>13500</v>
      </c>
      <c r="F6" s="121">
        <v>13500</v>
      </c>
      <c r="G6" s="121">
        <v>13500</v>
      </c>
      <c r="H6" s="121">
        <v>13500</v>
      </c>
      <c r="I6" s="121">
        <v>13500</v>
      </c>
      <c r="J6" s="121">
        <v>13500</v>
      </c>
      <c r="K6" s="121">
        <v>14850</v>
      </c>
      <c r="L6" s="121">
        <v>14850</v>
      </c>
      <c r="M6" s="121">
        <v>14850</v>
      </c>
      <c r="N6" s="121">
        <v>14850</v>
      </c>
      <c r="O6" s="121">
        <v>14850</v>
      </c>
      <c r="P6" s="121">
        <v>14850</v>
      </c>
      <c r="Q6" s="121">
        <f>SUM(E6:P6)</f>
        <v>170100</v>
      </c>
      <c r="R6" s="121"/>
    </row>
    <row r="7" spans="1:20" x14ac:dyDescent="0.25">
      <c r="A7" s="34" t="s">
        <v>351</v>
      </c>
      <c r="B7" s="35" t="s">
        <v>245</v>
      </c>
      <c r="C7" s="113">
        <v>2150</v>
      </c>
      <c r="D7" s="122">
        <f t="shared" ref="D7:D13" si="0">(P7*12)/C7</f>
        <v>21.996279069767443</v>
      </c>
      <c r="E7" s="114">
        <v>3941</v>
      </c>
      <c r="F7" s="114">
        <v>3941</v>
      </c>
      <c r="G7" s="114">
        <v>3941</v>
      </c>
      <c r="H7" s="114">
        <v>3941</v>
      </c>
      <c r="I7" s="114">
        <v>3941</v>
      </c>
      <c r="J7" s="114">
        <v>3941</v>
      </c>
      <c r="K7" s="114">
        <v>3941</v>
      </c>
      <c r="L7" s="114">
        <v>3941</v>
      </c>
      <c r="M7" s="114">
        <v>3941</v>
      </c>
      <c r="N7" s="114">
        <v>3941</v>
      </c>
      <c r="O7" s="114">
        <v>3941</v>
      </c>
      <c r="P7" s="114">
        <v>3941</v>
      </c>
      <c r="Q7" s="114">
        <f t="shared" ref="Q7:Q13" si="1">SUM(E7:P7)</f>
        <v>47292</v>
      </c>
    </row>
    <row r="8" spans="1:20" s="27" customFormat="1" x14ac:dyDescent="0.25">
      <c r="A8" s="27" t="s">
        <v>416</v>
      </c>
      <c r="B8" s="28" t="s">
        <v>245</v>
      </c>
      <c r="C8" s="119">
        <v>1393</v>
      </c>
      <c r="D8" s="120">
        <f t="shared" si="0"/>
        <v>20.821249102656139</v>
      </c>
      <c r="E8" s="121">
        <v>2417</v>
      </c>
      <c r="F8" s="121">
        <v>2417</v>
      </c>
      <c r="G8" s="121">
        <v>2417</v>
      </c>
      <c r="H8" s="121">
        <v>2417</v>
      </c>
      <c r="I8" s="121">
        <v>2417</v>
      </c>
      <c r="J8" s="121">
        <v>2417</v>
      </c>
      <c r="K8" s="121">
        <v>2417</v>
      </c>
      <c r="L8" s="121">
        <v>2417</v>
      </c>
      <c r="M8" s="121">
        <v>2417</v>
      </c>
      <c r="N8" s="121">
        <v>2417</v>
      </c>
      <c r="O8" s="121">
        <v>2417</v>
      </c>
      <c r="P8" s="121">
        <v>2417</v>
      </c>
      <c r="Q8" s="121">
        <f t="shared" si="1"/>
        <v>29004</v>
      </c>
      <c r="R8" s="121"/>
    </row>
    <row r="9" spans="1:20" x14ac:dyDescent="0.25">
      <c r="A9" s="34" t="s">
        <v>417</v>
      </c>
      <c r="B9" s="35" t="s">
        <v>245</v>
      </c>
      <c r="C9" s="113">
        <v>1220</v>
      </c>
      <c r="D9" s="122">
        <f t="shared" si="0"/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f t="shared" si="1"/>
        <v>0</v>
      </c>
    </row>
    <row r="10" spans="1:20" s="27" customFormat="1" x14ac:dyDescent="0.25">
      <c r="A10" s="27" t="s">
        <v>418</v>
      </c>
      <c r="B10" s="28" t="s">
        <v>245</v>
      </c>
      <c r="C10" s="119">
        <v>4000</v>
      </c>
      <c r="D10" s="120">
        <f t="shared" si="0"/>
        <v>17.001000000000001</v>
      </c>
      <c r="E10" s="121">
        <v>5667</v>
      </c>
      <c r="F10" s="121">
        <v>5667</v>
      </c>
      <c r="G10" s="121">
        <v>5667</v>
      </c>
      <c r="H10" s="121">
        <v>5667</v>
      </c>
      <c r="I10" s="121">
        <v>5667</v>
      </c>
      <c r="J10" s="121">
        <v>5667</v>
      </c>
      <c r="K10" s="121">
        <v>5667</v>
      </c>
      <c r="L10" s="121">
        <v>5667</v>
      </c>
      <c r="M10" s="121">
        <v>5667</v>
      </c>
      <c r="N10" s="121">
        <v>5667</v>
      </c>
      <c r="O10" s="121">
        <v>5667</v>
      </c>
      <c r="P10" s="121">
        <v>5667</v>
      </c>
      <c r="Q10" s="121">
        <f t="shared" si="1"/>
        <v>68004</v>
      </c>
      <c r="R10" s="121"/>
    </row>
    <row r="11" spans="1:20" x14ac:dyDescent="0.25">
      <c r="A11" s="34" t="s">
        <v>419</v>
      </c>
      <c r="B11" s="35" t="s">
        <v>245</v>
      </c>
      <c r="C11" s="113">
        <v>1215</v>
      </c>
      <c r="D11" s="122">
        <f t="shared" si="0"/>
        <v>22</v>
      </c>
      <c r="E11" s="114">
        <v>0</v>
      </c>
      <c r="F11" s="114">
        <v>0</v>
      </c>
      <c r="K11" s="114">
        <v>0</v>
      </c>
      <c r="L11" s="114">
        <v>0</v>
      </c>
      <c r="M11" s="114">
        <f>(2227.5/30)*15</f>
        <v>1113.75</v>
      </c>
      <c r="N11" s="114">
        <v>2227.5</v>
      </c>
      <c r="O11" s="114">
        <v>2227.5</v>
      </c>
      <c r="P11" s="114">
        <v>2227.5</v>
      </c>
      <c r="Q11" s="114">
        <f t="shared" si="1"/>
        <v>7796.25</v>
      </c>
      <c r="T11" s="34" t="s">
        <v>420</v>
      </c>
    </row>
    <row r="12" spans="1:20" s="27" customFormat="1" x14ac:dyDescent="0.25">
      <c r="A12" s="27" t="s">
        <v>419</v>
      </c>
      <c r="B12" s="28" t="s">
        <v>245</v>
      </c>
      <c r="C12" s="119">
        <v>1215</v>
      </c>
      <c r="D12" s="120">
        <f t="shared" si="0"/>
        <v>22</v>
      </c>
      <c r="E12" s="121">
        <v>0</v>
      </c>
      <c r="F12" s="121">
        <v>0</v>
      </c>
      <c r="G12" s="121"/>
      <c r="H12" s="121"/>
      <c r="I12" s="121"/>
      <c r="J12" s="121"/>
      <c r="K12" s="121"/>
      <c r="L12" s="121">
        <v>0</v>
      </c>
      <c r="M12" s="121">
        <v>0</v>
      </c>
      <c r="N12" s="121">
        <v>0</v>
      </c>
      <c r="O12" s="121">
        <v>2227.5</v>
      </c>
      <c r="P12" s="121">
        <v>2227.5</v>
      </c>
      <c r="Q12" s="121">
        <f t="shared" si="1"/>
        <v>4455</v>
      </c>
      <c r="R12" s="121"/>
      <c r="T12" s="27" t="s">
        <v>421</v>
      </c>
    </row>
    <row r="13" spans="1:20" x14ac:dyDescent="0.25">
      <c r="A13" s="34" t="s">
        <v>335</v>
      </c>
      <c r="B13" s="35" t="s">
        <v>245</v>
      </c>
      <c r="C13" s="113">
        <v>1320</v>
      </c>
      <c r="D13" s="122">
        <f t="shared" si="0"/>
        <v>24</v>
      </c>
      <c r="E13" s="114">
        <v>0</v>
      </c>
      <c r="F13" s="114">
        <v>0</v>
      </c>
      <c r="G13" s="114">
        <v>0</v>
      </c>
      <c r="H13" s="114">
        <v>0</v>
      </c>
      <c r="I13" s="114">
        <f>(2640/31)*14</f>
        <v>1192.258064516129</v>
      </c>
      <c r="J13" s="114">
        <v>2640</v>
      </c>
      <c r="K13" s="114">
        <v>2640</v>
      </c>
      <c r="L13" s="114">
        <v>2640</v>
      </c>
      <c r="M13" s="114">
        <v>2640</v>
      </c>
      <c r="N13" s="114">
        <v>2640</v>
      </c>
      <c r="O13" s="114">
        <v>2640</v>
      </c>
      <c r="P13" s="114">
        <v>2640</v>
      </c>
      <c r="Q13" s="114">
        <f t="shared" si="1"/>
        <v>19672.258064516129</v>
      </c>
      <c r="T13" s="34" t="s">
        <v>422</v>
      </c>
    </row>
    <row r="15" spans="1:20" x14ac:dyDescent="0.25">
      <c r="C15" s="116">
        <f>SUM(C6:C14)</f>
        <v>21897</v>
      </c>
    </row>
    <row r="16" spans="1:20" s="123" customFormat="1" x14ac:dyDescent="0.25">
      <c r="A16" s="123" t="s">
        <v>423</v>
      </c>
      <c r="B16" s="124"/>
      <c r="C16" s="125"/>
      <c r="D16" s="125"/>
      <c r="E16" s="126">
        <f t="shared" ref="E16:P16" si="2">SUM(E6:E15)</f>
        <v>25525</v>
      </c>
      <c r="F16" s="126">
        <f t="shared" si="2"/>
        <v>25525</v>
      </c>
      <c r="G16" s="126">
        <f t="shared" si="2"/>
        <v>25525</v>
      </c>
      <c r="H16" s="126">
        <f t="shared" si="2"/>
        <v>25525</v>
      </c>
      <c r="I16" s="126">
        <f t="shared" si="2"/>
        <v>26717.258064516129</v>
      </c>
      <c r="J16" s="126">
        <f t="shared" si="2"/>
        <v>28165</v>
      </c>
      <c r="K16" s="126">
        <f t="shared" si="2"/>
        <v>29515</v>
      </c>
      <c r="L16" s="126">
        <f t="shared" si="2"/>
        <v>29515</v>
      </c>
      <c r="M16" s="126">
        <f t="shared" si="2"/>
        <v>30628.75</v>
      </c>
      <c r="N16" s="126">
        <f t="shared" si="2"/>
        <v>31742.5</v>
      </c>
      <c r="O16" s="126">
        <f t="shared" si="2"/>
        <v>33970</v>
      </c>
      <c r="P16" s="126">
        <f t="shared" si="2"/>
        <v>33970</v>
      </c>
      <c r="Q16" s="126">
        <f>SUM(E16:P16)</f>
        <v>346323.50806451612</v>
      </c>
      <c r="R16" s="1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E7" sqref="E7:P13"/>
    </sheetView>
  </sheetViews>
  <sheetFormatPr defaultRowHeight="15" x14ac:dyDescent="0.25"/>
  <cols>
    <col min="1" max="1" width="40.42578125" style="34" customWidth="1"/>
    <col min="2" max="2" width="9.140625" style="35"/>
    <col min="3" max="4" width="9.140625" style="113"/>
    <col min="5" max="18" width="9.140625" style="114"/>
    <col min="19" max="19" width="9.140625" style="34"/>
    <col min="20" max="20" width="65.28515625" style="34" customWidth="1"/>
    <col min="21" max="16384" width="9.140625" style="34"/>
  </cols>
  <sheetData>
    <row r="1" spans="1:20" x14ac:dyDescent="0.25">
      <c r="A1" s="15" t="s">
        <v>240</v>
      </c>
    </row>
    <row r="2" spans="1:20" x14ac:dyDescent="0.25">
      <c r="A2" s="15" t="s">
        <v>424</v>
      </c>
    </row>
    <row r="4" spans="1:20" s="115" customFormat="1" x14ac:dyDescent="0.25">
      <c r="A4" s="115" t="s">
        <v>412</v>
      </c>
      <c r="B4" s="115" t="s">
        <v>254</v>
      </c>
      <c r="C4" s="116" t="s">
        <v>413</v>
      </c>
      <c r="D4" s="116" t="s">
        <v>425</v>
      </c>
      <c r="E4" s="117">
        <v>42370</v>
      </c>
      <c r="F4" s="117">
        <v>42401</v>
      </c>
      <c r="G4" s="117">
        <v>42430</v>
      </c>
      <c r="H4" s="117">
        <v>42461</v>
      </c>
      <c r="I4" s="117">
        <v>42491</v>
      </c>
      <c r="J4" s="117">
        <v>42522</v>
      </c>
      <c r="K4" s="117">
        <v>42552</v>
      </c>
      <c r="L4" s="117">
        <v>42583</v>
      </c>
      <c r="M4" s="117">
        <v>42614</v>
      </c>
      <c r="N4" s="117">
        <v>42644</v>
      </c>
      <c r="O4" s="117">
        <v>42675</v>
      </c>
      <c r="P4" s="117">
        <v>42705</v>
      </c>
      <c r="Q4" s="118" t="s">
        <v>242</v>
      </c>
      <c r="R4" s="118" t="s">
        <v>414</v>
      </c>
      <c r="S4" s="115" t="s">
        <v>0</v>
      </c>
      <c r="T4" s="115" t="s">
        <v>243</v>
      </c>
    </row>
    <row r="6" spans="1:20" s="27" customFormat="1" x14ac:dyDescent="0.25">
      <c r="A6" s="27" t="s">
        <v>415</v>
      </c>
      <c r="B6" s="28" t="s">
        <v>245</v>
      </c>
      <c r="C6" s="119">
        <v>9384</v>
      </c>
      <c r="D6" s="120">
        <f>(P6*12)/C6</f>
        <v>0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>
        <f>SUM(E6:P6)</f>
        <v>0</v>
      </c>
      <c r="R6" s="121"/>
    </row>
    <row r="7" spans="1:20" x14ac:dyDescent="0.25">
      <c r="A7" s="34" t="s">
        <v>351</v>
      </c>
      <c r="B7" s="35" t="s">
        <v>245</v>
      </c>
      <c r="C7" s="113">
        <v>2150</v>
      </c>
      <c r="D7" s="122">
        <f t="shared" ref="D7:D8" si="0">(P7*12)/C7</f>
        <v>2.4446511627906977</v>
      </c>
      <c r="E7" s="114">
        <v>438</v>
      </c>
      <c r="F7" s="114">
        <v>438</v>
      </c>
      <c r="G7" s="114">
        <v>438</v>
      </c>
      <c r="H7" s="114">
        <v>438</v>
      </c>
      <c r="I7" s="114">
        <v>438</v>
      </c>
      <c r="J7" s="114">
        <v>438</v>
      </c>
      <c r="K7" s="114">
        <v>438</v>
      </c>
      <c r="L7" s="114">
        <v>438</v>
      </c>
      <c r="M7" s="114">
        <v>438</v>
      </c>
      <c r="N7" s="114">
        <v>438</v>
      </c>
      <c r="O7" s="114">
        <v>438</v>
      </c>
      <c r="P7" s="114">
        <v>438</v>
      </c>
      <c r="Q7" s="114">
        <f t="shared" ref="Q7:Q9" si="1">SUM(E7:P7)</f>
        <v>5256</v>
      </c>
    </row>
    <row r="8" spans="1:20" s="27" customFormat="1" x14ac:dyDescent="0.25">
      <c r="A8" s="27" t="s">
        <v>416</v>
      </c>
      <c r="B8" s="28" t="s">
        <v>245</v>
      </c>
      <c r="C8" s="119">
        <v>1393</v>
      </c>
      <c r="D8" s="120">
        <f t="shared" si="0"/>
        <v>5.6941852117731511</v>
      </c>
      <c r="E8" s="121">
        <v>661</v>
      </c>
      <c r="F8" s="121">
        <v>661</v>
      </c>
      <c r="G8" s="121">
        <v>661</v>
      </c>
      <c r="H8" s="121">
        <v>661</v>
      </c>
      <c r="I8" s="121">
        <v>661</v>
      </c>
      <c r="J8" s="121">
        <v>661</v>
      </c>
      <c r="K8" s="121">
        <v>661</v>
      </c>
      <c r="L8" s="121">
        <v>661</v>
      </c>
      <c r="M8" s="121">
        <v>661</v>
      </c>
      <c r="N8" s="121">
        <v>661</v>
      </c>
      <c r="O8" s="121">
        <v>661</v>
      </c>
      <c r="P8" s="121">
        <v>661</v>
      </c>
      <c r="Q8" s="121">
        <f t="shared" si="1"/>
        <v>7932</v>
      </c>
      <c r="R8" s="121"/>
    </row>
    <row r="9" spans="1:20" x14ac:dyDescent="0.25">
      <c r="A9" s="34" t="s">
        <v>417</v>
      </c>
      <c r="B9" s="35" t="s">
        <v>245</v>
      </c>
      <c r="C9" s="113">
        <v>1220</v>
      </c>
      <c r="D9" s="122">
        <f>(P9*12)/C9</f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27">
        <f t="shared" si="1"/>
        <v>0</v>
      </c>
    </row>
    <row r="10" spans="1:20" s="27" customFormat="1" x14ac:dyDescent="0.25">
      <c r="A10" s="27" t="s">
        <v>418</v>
      </c>
      <c r="B10" s="28" t="s">
        <v>245</v>
      </c>
      <c r="C10" s="119">
        <v>4000</v>
      </c>
      <c r="D10" s="120">
        <f>(P10*12)/C10</f>
        <v>3.1379999999999999</v>
      </c>
      <c r="E10" s="121">
        <v>1046</v>
      </c>
      <c r="F10" s="121">
        <v>1046</v>
      </c>
      <c r="G10" s="121">
        <v>1046</v>
      </c>
      <c r="H10" s="121">
        <v>1046</v>
      </c>
      <c r="I10" s="121">
        <v>1046</v>
      </c>
      <c r="J10" s="121">
        <v>1046</v>
      </c>
      <c r="K10" s="121">
        <v>1046</v>
      </c>
      <c r="L10" s="121">
        <v>1046</v>
      </c>
      <c r="M10" s="121">
        <v>1046</v>
      </c>
      <c r="N10" s="121">
        <v>1046</v>
      </c>
      <c r="O10" s="121">
        <v>1046</v>
      </c>
      <c r="P10" s="121">
        <v>1046</v>
      </c>
      <c r="Q10" s="121">
        <f>SUM(E10:P10)</f>
        <v>12552</v>
      </c>
      <c r="R10" s="121"/>
    </row>
    <row r="11" spans="1:20" x14ac:dyDescent="0.25">
      <c r="A11" s="34" t="s">
        <v>419</v>
      </c>
      <c r="B11" s="35" t="s">
        <v>245</v>
      </c>
      <c r="C11" s="113">
        <v>1215</v>
      </c>
      <c r="D11" s="122">
        <f>(P11*12)/C11</f>
        <v>3.1012345679012348</v>
      </c>
      <c r="E11" s="127">
        <v>0</v>
      </c>
      <c r="F11" s="127">
        <v>0</v>
      </c>
      <c r="G11" s="127"/>
      <c r="H11" s="127"/>
      <c r="I11" s="127"/>
      <c r="J11" s="127"/>
      <c r="K11" s="127">
        <v>0</v>
      </c>
      <c r="L11" s="127">
        <v>0</v>
      </c>
      <c r="M11" s="127">
        <v>157</v>
      </c>
      <c r="N11" s="127">
        <v>314</v>
      </c>
      <c r="O11" s="127">
        <v>314</v>
      </c>
      <c r="P11" s="127">
        <v>314</v>
      </c>
      <c r="Q11" s="127">
        <f t="shared" ref="Q11:Q13" si="2">SUM(E11:P11)</f>
        <v>1099</v>
      </c>
      <c r="T11" s="34" t="s">
        <v>420</v>
      </c>
    </row>
    <row r="12" spans="1:20" s="27" customFormat="1" x14ac:dyDescent="0.25">
      <c r="A12" s="27" t="s">
        <v>419</v>
      </c>
      <c r="B12" s="28" t="s">
        <v>245</v>
      </c>
      <c r="C12" s="119">
        <v>1215</v>
      </c>
      <c r="D12" s="120">
        <f>(P12*12)/C12</f>
        <v>3.1012345679012348</v>
      </c>
      <c r="E12" s="121">
        <v>0</v>
      </c>
      <c r="F12" s="121">
        <v>0</v>
      </c>
      <c r="G12" s="121"/>
      <c r="H12" s="121"/>
      <c r="I12" s="121"/>
      <c r="J12" s="121"/>
      <c r="K12" s="121"/>
      <c r="L12" s="121">
        <v>0</v>
      </c>
      <c r="M12" s="121">
        <v>0</v>
      </c>
      <c r="N12" s="121">
        <v>0</v>
      </c>
      <c r="O12" s="121">
        <v>314</v>
      </c>
      <c r="P12" s="121">
        <v>314</v>
      </c>
      <c r="Q12" s="121">
        <f t="shared" si="2"/>
        <v>628</v>
      </c>
      <c r="R12" s="121"/>
      <c r="T12" s="27" t="s">
        <v>421</v>
      </c>
    </row>
    <row r="13" spans="1:20" x14ac:dyDescent="0.25">
      <c r="A13" s="34" t="s">
        <v>335</v>
      </c>
      <c r="B13" s="35" t="s">
        <v>245</v>
      </c>
      <c r="C13" s="113">
        <v>1320</v>
      </c>
      <c r="D13" s="122">
        <f>(P13*12)/C13</f>
        <v>3.1272727272727274</v>
      </c>
      <c r="E13" s="127">
        <v>0</v>
      </c>
      <c r="F13" s="127">
        <v>0</v>
      </c>
      <c r="G13" s="127">
        <v>0</v>
      </c>
      <c r="H13" s="127"/>
      <c r="I13" s="127">
        <f>(344/31)*14</f>
        <v>155.35483870967744</v>
      </c>
      <c r="J13" s="127">
        <v>344</v>
      </c>
      <c r="K13" s="127">
        <v>344</v>
      </c>
      <c r="L13" s="127">
        <v>344</v>
      </c>
      <c r="M13" s="127">
        <v>344</v>
      </c>
      <c r="N13" s="127">
        <v>344</v>
      </c>
      <c r="O13" s="127">
        <v>344</v>
      </c>
      <c r="P13" s="127">
        <v>344</v>
      </c>
      <c r="Q13" s="127">
        <f t="shared" si="2"/>
        <v>2563.3548387096776</v>
      </c>
      <c r="T13" s="34" t="s">
        <v>422</v>
      </c>
    </row>
    <row r="15" spans="1:20" x14ac:dyDescent="0.25">
      <c r="C15" s="116">
        <f>SUM(C6:C14)</f>
        <v>21897</v>
      </c>
    </row>
    <row r="16" spans="1:20" s="128" customFormat="1" x14ac:dyDescent="0.25">
      <c r="A16" s="128" t="s">
        <v>246</v>
      </c>
      <c r="B16" s="129"/>
      <c r="C16" s="130"/>
      <c r="D16" s="130"/>
      <c r="E16" s="131">
        <f t="shared" ref="E16:P16" si="3">SUM(E6:E15)</f>
        <v>2145</v>
      </c>
      <c r="F16" s="131">
        <f t="shared" si="3"/>
        <v>2145</v>
      </c>
      <c r="G16" s="131">
        <f t="shared" si="3"/>
        <v>2145</v>
      </c>
      <c r="H16" s="131">
        <f t="shared" si="3"/>
        <v>2145</v>
      </c>
      <c r="I16" s="131">
        <f t="shared" si="3"/>
        <v>2300.3548387096776</v>
      </c>
      <c r="J16" s="131">
        <f t="shared" si="3"/>
        <v>2489</v>
      </c>
      <c r="K16" s="131">
        <f t="shared" si="3"/>
        <v>2489</v>
      </c>
      <c r="L16" s="131">
        <f t="shared" si="3"/>
        <v>2489</v>
      </c>
      <c r="M16" s="131">
        <f t="shared" si="3"/>
        <v>2646</v>
      </c>
      <c r="N16" s="131">
        <f t="shared" si="3"/>
        <v>2803</v>
      </c>
      <c r="O16" s="131">
        <f t="shared" si="3"/>
        <v>3117</v>
      </c>
      <c r="P16" s="131">
        <f t="shared" si="3"/>
        <v>3117</v>
      </c>
      <c r="Q16" s="131">
        <f>SUM(E16:P16)</f>
        <v>30030.354838709678</v>
      </c>
      <c r="R16" s="1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16" sqref="N16"/>
    </sheetView>
  </sheetViews>
  <sheetFormatPr defaultRowHeight="15" x14ac:dyDescent="0.25"/>
  <cols>
    <col min="1" max="1" width="40.42578125" style="34" customWidth="1"/>
    <col min="2" max="2" width="9.140625" style="35"/>
    <col min="3" max="4" width="9.140625" style="113"/>
    <col min="5" max="18" width="9.140625" style="114"/>
    <col min="19" max="19" width="9.140625" style="34"/>
    <col min="20" max="20" width="65.28515625" style="34" customWidth="1"/>
    <col min="21" max="16384" width="9.140625" style="34"/>
  </cols>
  <sheetData>
    <row r="1" spans="1:20" x14ac:dyDescent="0.25">
      <c r="A1" s="15" t="s">
        <v>240</v>
      </c>
    </row>
    <row r="2" spans="1:20" x14ac:dyDescent="0.25">
      <c r="A2" s="15" t="s">
        <v>426</v>
      </c>
    </row>
    <row r="4" spans="1:20" s="115" customFormat="1" x14ac:dyDescent="0.25">
      <c r="A4" s="115" t="s">
        <v>412</v>
      </c>
      <c r="B4" s="115" t="s">
        <v>254</v>
      </c>
      <c r="C4" s="116" t="s">
        <v>413</v>
      </c>
      <c r="D4" s="116" t="s">
        <v>427</v>
      </c>
      <c r="E4" s="117">
        <v>42370</v>
      </c>
      <c r="F4" s="117">
        <v>42401</v>
      </c>
      <c r="G4" s="117">
        <v>42430</v>
      </c>
      <c r="H4" s="117">
        <v>42461</v>
      </c>
      <c r="I4" s="117">
        <v>42491</v>
      </c>
      <c r="J4" s="117">
        <v>42522</v>
      </c>
      <c r="K4" s="117">
        <v>42552</v>
      </c>
      <c r="L4" s="117">
        <v>42583</v>
      </c>
      <c r="M4" s="117">
        <v>42614</v>
      </c>
      <c r="N4" s="117">
        <v>42644</v>
      </c>
      <c r="O4" s="117">
        <v>42675</v>
      </c>
      <c r="P4" s="117">
        <v>42705</v>
      </c>
      <c r="Q4" s="118" t="s">
        <v>242</v>
      </c>
      <c r="R4" s="118" t="s">
        <v>414</v>
      </c>
      <c r="S4" s="115" t="s">
        <v>0</v>
      </c>
      <c r="T4" s="115" t="s">
        <v>243</v>
      </c>
    </row>
    <row r="6" spans="1:20" s="27" customFormat="1" x14ac:dyDescent="0.25">
      <c r="A6" s="27" t="s">
        <v>415</v>
      </c>
      <c r="B6" s="28" t="s">
        <v>245</v>
      </c>
      <c r="C6" s="119">
        <v>9384</v>
      </c>
      <c r="D6" s="120">
        <f>Q6/C6</f>
        <v>4.0664961636828645</v>
      </c>
      <c r="E6" s="121">
        <v>3180</v>
      </c>
      <c r="F6" s="121">
        <v>3180</v>
      </c>
      <c r="G6" s="121">
        <v>3180</v>
      </c>
      <c r="H6" s="121">
        <v>3180</v>
      </c>
      <c r="I6" s="121">
        <v>3180</v>
      </c>
      <c r="J6" s="121">
        <v>3180</v>
      </c>
      <c r="K6" s="121">
        <v>3180</v>
      </c>
      <c r="L6" s="121">
        <v>3180</v>
      </c>
      <c r="M6" s="121">
        <v>3180</v>
      </c>
      <c r="N6" s="121">
        <v>3180</v>
      </c>
      <c r="O6" s="121">
        <v>3180</v>
      </c>
      <c r="P6" s="121">
        <v>3180</v>
      </c>
      <c r="Q6" s="121">
        <f>SUM(E6:P6)</f>
        <v>38160</v>
      </c>
      <c r="R6" s="121"/>
    </row>
    <row r="7" spans="1:20" x14ac:dyDescent="0.25">
      <c r="A7" s="34" t="s">
        <v>351</v>
      </c>
      <c r="B7" s="35" t="s">
        <v>245</v>
      </c>
      <c r="C7" s="113">
        <v>2150</v>
      </c>
      <c r="D7" s="122">
        <f t="shared" ref="D7:D13" si="0">Q7/C7</f>
        <v>3.9906976744186045</v>
      </c>
      <c r="E7" s="114">
        <v>715</v>
      </c>
      <c r="F7" s="114">
        <v>715</v>
      </c>
      <c r="G7" s="114">
        <v>715</v>
      </c>
      <c r="H7" s="114">
        <v>715</v>
      </c>
      <c r="I7" s="114">
        <v>715</v>
      </c>
      <c r="J7" s="114">
        <v>715</v>
      </c>
      <c r="K7" s="114">
        <v>715</v>
      </c>
      <c r="L7" s="114">
        <v>715</v>
      </c>
      <c r="M7" s="114">
        <v>715</v>
      </c>
      <c r="N7" s="114">
        <v>715</v>
      </c>
      <c r="O7" s="114">
        <v>715</v>
      </c>
      <c r="P7" s="114">
        <v>715</v>
      </c>
      <c r="Q7" s="114">
        <f t="shared" ref="Q7:Q13" si="1">SUM(E7:P7)</f>
        <v>8580</v>
      </c>
    </row>
    <row r="8" spans="1:20" s="27" customFormat="1" x14ac:dyDescent="0.25">
      <c r="A8" s="27" t="s">
        <v>416</v>
      </c>
      <c r="B8" s="28" t="s">
        <v>245</v>
      </c>
      <c r="C8" s="119">
        <v>1393</v>
      </c>
      <c r="D8" s="120">
        <f t="shared" si="0"/>
        <v>7.0380473797559224</v>
      </c>
      <c r="E8" s="121">
        <v>817</v>
      </c>
      <c r="F8" s="121">
        <v>817</v>
      </c>
      <c r="G8" s="121">
        <v>817</v>
      </c>
      <c r="H8" s="121">
        <v>817</v>
      </c>
      <c r="I8" s="121">
        <v>817</v>
      </c>
      <c r="J8" s="121">
        <v>817</v>
      </c>
      <c r="K8" s="121">
        <v>817</v>
      </c>
      <c r="L8" s="121">
        <v>817</v>
      </c>
      <c r="M8" s="121">
        <v>817</v>
      </c>
      <c r="N8" s="121">
        <v>817</v>
      </c>
      <c r="O8" s="121">
        <v>817</v>
      </c>
      <c r="P8" s="121">
        <v>817</v>
      </c>
      <c r="Q8" s="121">
        <f t="shared" si="1"/>
        <v>9804</v>
      </c>
      <c r="R8" s="121"/>
    </row>
    <row r="9" spans="1:20" x14ac:dyDescent="0.25">
      <c r="A9" s="34" t="s">
        <v>417</v>
      </c>
      <c r="B9" s="35" t="s">
        <v>245</v>
      </c>
      <c r="C9" s="113">
        <v>1220</v>
      </c>
      <c r="D9" s="122">
        <f t="shared" si="0"/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f t="shared" si="1"/>
        <v>0</v>
      </c>
    </row>
    <row r="10" spans="1:20" s="27" customFormat="1" x14ac:dyDescent="0.25">
      <c r="A10" s="27" t="s">
        <v>418</v>
      </c>
      <c r="B10" s="28" t="s">
        <v>245</v>
      </c>
      <c r="C10" s="119">
        <v>4000</v>
      </c>
      <c r="D10" s="120">
        <f t="shared" si="0"/>
        <v>3.8849999999999998</v>
      </c>
      <c r="E10" s="121">
        <v>1295</v>
      </c>
      <c r="F10" s="121">
        <v>1295</v>
      </c>
      <c r="G10" s="121">
        <v>1295</v>
      </c>
      <c r="H10" s="121">
        <v>1295</v>
      </c>
      <c r="I10" s="121">
        <v>1295</v>
      </c>
      <c r="J10" s="121">
        <v>1295</v>
      </c>
      <c r="K10" s="121">
        <v>1295</v>
      </c>
      <c r="L10" s="121">
        <v>1295</v>
      </c>
      <c r="M10" s="121">
        <v>1295</v>
      </c>
      <c r="N10" s="121">
        <v>1295</v>
      </c>
      <c r="O10" s="121">
        <v>1295</v>
      </c>
      <c r="P10" s="121">
        <v>1295</v>
      </c>
      <c r="Q10" s="121">
        <f t="shared" si="1"/>
        <v>15540</v>
      </c>
      <c r="R10" s="121"/>
    </row>
    <row r="11" spans="1:20" x14ac:dyDescent="0.25">
      <c r="A11" s="34" t="s">
        <v>419</v>
      </c>
      <c r="B11" s="35" t="s">
        <v>245</v>
      </c>
      <c r="C11" s="113">
        <v>1215</v>
      </c>
      <c r="D11" s="122">
        <f t="shared" si="0"/>
        <v>1.1292181069958849</v>
      </c>
      <c r="E11" s="114">
        <v>0</v>
      </c>
      <c r="F11" s="114">
        <v>0</v>
      </c>
      <c r="K11" s="114">
        <v>0</v>
      </c>
      <c r="L11" s="114">
        <v>0</v>
      </c>
      <c r="M11" s="114">
        <f>392/2</f>
        <v>196</v>
      </c>
      <c r="N11" s="114">
        <v>392</v>
      </c>
      <c r="O11" s="114">
        <v>392</v>
      </c>
      <c r="P11" s="114">
        <v>392</v>
      </c>
      <c r="Q11" s="114">
        <f t="shared" si="1"/>
        <v>1372</v>
      </c>
      <c r="T11" s="34" t="s">
        <v>420</v>
      </c>
    </row>
    <row r="12" spans="1:20" s="27" customFormat="1" x14ac:dyDescent="0.25">
      <c r="A12" s="27" t="s">
        <v>419</v>
      </c>
      <c r="B12" s="28" t="s">
        <v>245</v>
      </c>
      <c r="C12" s="119">
        <v>1215</v>
      </c>
      <c r="D12" s="120">
        <f t="shared" si="0"/>
        <v>0.64526748971193415</v>
      </c>
      <c r="E12" s="121">
        <v>0</v>
      </c>
      <c r="F12" s="121">
        <v>0</v>
      </c>
      <c r="G12" s="121"/>
      <c r="H12" s="121"/>
      <c r="I12" s="121"/>
      <c r="J12" s="121"/>
      <c r="K12" s="121"/>
      <c r="L12" s="121">
        <v>0</v>
      </c>
      <c r="M12" s="121">
        <v>0</v>
      </c>
      <c r="N12" s="121">
        <v>0</v>
      </c>
      <c r="O12" s="121">
        <v>392</v>
      </c>
      <c r="P12" s="121">
        <v>392</v>
      </c>
      <c r="Q12" s="121">
        <f t="shared" si="1"/>
        <v>784</v>
      </c>
      <c r="R12" s="121"/>
      <c r="T12" s="27" t="s">
        <v>421</v>
      </c>
    </row>
    <row r="13" spans="1:20" x14ac:dyDescent="0.25">
      <c r="A13" s="34" t="s">
        <v>335</v>
      </c>
      <c r="B13" s="35" t="s">
        <v>245</v>
      </c>
      <c r="C13" s="113">
        <v>1320</v>
      </c>
      <c r="D13" s="122">
        <f t="shared" si="0"/>
        <v>2.4217741935483872</v>
      </c>
      <c r="E13" s="114">
        <v>0</v>
      </c>
      <c r="F13" s="114">
        <v>0</v>
      </c>
      <c r="G13" s="114">
        <v>0</v>
      </c>
      <c r="I13" s="114">
        <f>(429/31)*14</f>
        <v>193.74193548387095</v>
      </c>
      <c r="J13" s="114">
        <v>429</v>
      </c>
      <c r="K13" s="114">
        <v>429</v>
      </c>
      <c r="L13" s="114">
        <v>429</v>
      </c>
      <c r="M13" s="114">
        <v>429</v>
      </c>
      <c r="N13" s="114">
        <v>429</v>
      </c>
      <c r="O13" s="114">
        <v>429</v>
      </c>
      <c r="P13" s="114">
        <v>429</v>
      </c>
      <c r="Q13" s="114">
        <f t="shared" si="1"/>
        <v>3196.7419354838712</v>
      </c>
      <c r="T13" s="34" t="s">
        <v>422</v>
      </c>
    </row>
    <row r="15" spans="1:20" x14ac:dyDescent="0.25">
      <c r="C15" s="116">
        <f>SUM(C6:C14)</f>
        <v>21897</v>
      </c>
    </row>
    <row r="16" spans="1:20" s="128" customFormat="1" x14ac:dyDescent="0.25">
      <c r="A16" s="128" t="s">
        <v>428</v>
      </c>
      <c r="B16" s="129"/>
      <c r="C16" s="130"/>
      <c r="D16" s="130"/>
      <c r="E16" s="131">
        <f t="shared" ref="E16:P16" si="2">SUM(E6:E15)</f>
        <v>6007</v>
      </c>
      <c r="F16" s="131">
        <f t="shared" si="2"/>
        <v>6007</v>
      </c>
      <c r="G16" s="131">
        <f t="shared" si="2"/>
        <v>6007</v>
      </c>
      <c r="H16" s="131">
        <f t="shared" si="2"/>
        <v>6007</v>
      </c>
      <c r="I16" s="131">
        <f t="shared" si="2"/>
        <v>6200.7419354838712</v>
      </c>
      <c r="J16" s="131">
        <f t="shared" si="2"/>
        <v>6436</v>
      </c>
      <c r="K16" s="131">
        <f t="shared" si="2"/>
        <v>6436</v>
      </c>
      <c r="L16" s="131">
        <f t="shared" si="2"/>
        <v>6436</v>
      </c>
      <c r="M16" s="131">
        <f t="shared" si="2"/>
        <v>6632</v>
      </c>
      <c r="N16" s="131">
        <f t="shared" si="2"/>
        <v>6828</v>
      </c>
      <c r="O16" s="131">
        <f t="shared" si="2"/>
        <v>7220</v>
      </c>
      <c r="P16" s="131">
        <f t="shared" si="2"/>
        <v>7220</v>
      </c>
      <c r="Q16" s="131">
        <f>SUM(E16:P16)</f>
        <v>77436.741935483878</v>
      </c>
      <c r="R16" s="1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4" sqref="A14"/>
    </sheetView>
  </sheetViews>
  <sheetFormatPr defaultRowHeight="15" x14ac:dyDescent="0.25"/>
  <cols>
    <col min="1" max="1" width="40.42578125" style="34" customWidth="1"/>
    <col min="2" max="2" width="9.140625" style="35"/>
    <col min="3" max="3" width="9.140625" style="113"/>
    <col min="4" max="17" width="9.140625" style="114"/>
    <col min="18" max="18" width="9.140625" style="34"/>
    <col min="19" max="19" width="65.28515625" style="34" customWidth="1"/>
    <col min="20" max="16384" width="9.140625" style="34"/>
  </cols>
  <sheetData>
    <row r="1" spans="1:19" x14ac:dyDescent="0.25">
      <c r="A1" s="15" t="s">
        <v>429</v>
      </c>
    </row>
    <row r="2" spans="1:19" x14ac:dyDescent="0.25">
      <c r="A2" s="15" t="s">
        <v>430</v>
      </c>
    </row>
    <row r="4" spans="1:19" s="115" customFormat="1" x14ac:dyDescent="0.25">
      <c r="A4" s="115" t="s">
        <v>412</v>
      </c>
      <c r="B4" s="115" t="s">
        <v>254</v>
      </c>
      <c r="C4" s="116" t="s">
        <v>413</v>
      </c>
      <c r="D4" s="117">
        <v>42370</v>
      </c>
      <c r="E4" s="117">
        <v>42401</v>
      </c>
      <c r="F4" s="117">
        <v>42430</v>
      </c>
      <c r="G4" s="117">
        <v>42461</v>
      </c>
      <c r="H4" s="117">
        <v>42491</v>
      </c>
      <c r="I4" s="117">
        <v>42522</v>
      </c>
      <c r="J4" s="117">
        <v>42552</v>
      </c>
      <c r="K4" s="117">
        <v>42583</v>
      </c>
      <c r="L4" s="117">
        <v>42614</v>
      </c>
      <c r="M4" s="117">
        <v>42644</v>
      </c>
      <c r="N4" s="117">
        <v>42675</v>
      </c>
      <c r="O4" s="117">
        <v>42705</v>
      </c>
      <c r="P4" s="118" t="s">
        <v>242</v>
      </c>
      <c r="Q4" s="118" t="s">
        <v>414</v>
      </c>
      <c r="R4" s="115" t="s">
        <v>0</v>
      </c>
      <c r="S4" s="115" t="s">
        <v>243</v>
      </c>
    </row>
    <row r="6" spans="1:19" s="27" customFormat="1" x14ac:dyDescent="0.25">
      <c r="A6" s="27" t="s">
        <v>415</v>
      </c>
      <c r="B6" s="28" t="s">
        <v>245</v>
      </c>
      <c r="C6" s="119">
        <v>9384</v>
      </c>
      <c r="D6" s="121">
        <v>390</v>
      </c>
      <c r="E6" s="121">
        <v>390</v>
      </c>
      <c r="F6" s="121">
        <v>390</v>
      </c>
      <c r="G6" s="121">
        <v>390</v>
      </c>
      <c r="H6" s="121">
        <v>390</v>
      </c>
      <c r="I6" s="121">
        <v>390</v>
      </c>
      <c r="J6" s="121">
        <v>390</v>
      </c>
      <c r="K6" s="121">
        <v>390</v>
      </c>
      <c r="L6" s="121">
        <v>390</v>
      </c>
      <c r="M6" s="121">
        <v>390</v>
      </c>
      <c r="N6" s="121">
        <v>390</v>
      </c>
      <c r="O6" s="121">
        <v>390</v>
      </c>
      <c r="P6" s="121">
        <f>SUM(D6:O6)</f>
        <v>4680</v>
      </c>
      <c r="Q6" s="121"/>
    </row>
    <row r="7" spans="1:19" x14ac:dyDescent="0.25">
      <c r="A7" s="34" t="s">
        <v>351</v>
      </c>
      <c r="B7" s="35" t="s">
        <v>245</v>
      </c>
      <c r="C7" s="113">
        <v>2150</v>
      </c>
      <c r="D7" s="114">
        <v>0</v>
      </c>
      <c r="E7" s="114">
        <v>0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f t="shared" ref="P7:P13" si="0">SUM(D7:O7)</f>
        <v>0</v>
      </c>
    </row>
    <row r="8" spans="1:19" s="27" customFormat="1" x14ac:dyDescent="0.25">
      <c r="A8" s="27" t="s">
        <v>416</v>
      </c>
      <c r="B8" s="28" t="s">
        <v>245</v>
      </c>
      <c r="C8" s="119">
        <v>1393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f t="shared" si="0"/>
        <v>0</v>
      </c>
      <c r="Q8" s="121"/>
    </row>
    <row r="9" spans="1:19" x14ac:dyDescent="0.25">
      <c r="A9" s="34" t="s">
        <v>417</v>
      </c>
      <c r="B9" s="35" t="s">
        <v>245</v>
      </c>
      <c r="C9" s="113">
        <v>1220</v>
      </c>
      <c r="D9" s="114">
        <v>0</v>
      </c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f t="shared" si="0"/>
        <v>0</v>
      </c>
    </row>
    <row r="10" spans="1:19" s="27" customFormat="1" x14ac:dyDescent="0.25">
      <c r="A10" s="27" t="s">
        <v>418</v>
      </c>
      <c r="B10" s="28" t="s">
        <v>245</v>
      </c>
      <c r="C10" s="119">
        <v>4000</v>
      </c>
      <c r="D10" s="121">
        <v>0</v>
      </c>
      <c r="E10" s="121">
        <v>0</v>
      </c>
      <c r="F10" s="121">
        <v>0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f t="shared" si="0"/>
        <v>0</v>
      </c>
      <c r="Q10" s="121"/>
    </row>
    <row r="11" spans="1:19" x14ac:dyDescent="0.25">
      <c r="A11" s="34" t="s">
        <v>419</v>
      </c>
      <c r="B11" s="35" t="s">
        <v>245</v>
      </c>
      <c r="C11" s="113">
        <v>1215</v>
      </c>
      <c r="D11" s="114">
        <v>0</v>
      </c>
      <c r="E11" s="114">
        <v>0</v>
      </c>
      <c r="F11" s="114">
        <v>0</v>
      </c>
      <c r="G11" s="114">
        <v>0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f t="shared" si="0"/>
        <v>0</v>
      </c>
    </row>
    <row r="12" spans="1:19" s="27" customFormat="1" x14ac:dyDescent="0.25">
      <c r="A12" s="27" t="s">
        <v>419</v>
      </c>
      <c r="B12" s="28" t="s">
        <v>245</v>
      </c>
      <c r="C12" s="119">
        <v>1215</v>
      </c>
      <c r="D12" s="121">
        <v>0</v>
      </c>
      <c r="E12" s="121">
        <v>0</v>
      </c>
      <c r="F12" s="121">
        <v>0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f t="shared" si="0"/>
        <v>0</v>
      </c>
      <c r="Q12" s="121"/>
    </row>
    <row r="13" spans="1:19" x14ac:dyDescent="0.25">
      <c r="A13" s="34" t="s">
        <v>335</v>
      </c>
      <c r="B13" s="35" t="s">
        <v>245</v>
      </c>
      <c r="C13" s="113">
        <v>1320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4">
        <v>0</v>
      </c>
      <c r="N13" s="114">
        <v>0</v>
      </c>
      <c r="O13" s="114">
        <v>0</v>
      </c>
      <c r="P13" s="114">
        <f t="shared" si="0"/>
        <v>0</v>
      </c>
    </row>
    <row r="15" spans="1:19" x14ac:dyDescent="0.25">
      <c r="C15" s="116">
        <f>SUM(C6:C14)</f>
        <v>21897</v>
      </c>
    </row>
    <row r="16" spans="1:19" s="128" customFormat="1" x14ac:dyDescent="0.25">
      <c r="A16" s="128" t="s">
        <v>248</v>
      </c>
      <c r="B16" s="129"/>
      <c r="C16" s="130"/>
      <c r="D16" s="131">
        <f t="shared" ref="D16:O16" si="1">SUM(D6:D15)</f>
        <v>390</v>
      </c>
      <c r="E16" s="131">
        <f t="shared" si="1"/>
        <v>390</v>
      </c>
      <c r="F16" s="131">
        <f t="shared" si="1"/>
        <v>390</v>
      </c>
      <c r="G16" s="131">
        <f t="shared" si="1"/>
        <v>390</v>
      </c>
      <c r="H16" s="131">
        <f t="shared" si="1"/>
        <v>390</v>
      </c>
      <c r="I16" s="131">
        <f t="shared" si="1"/>
        <v>390</v>
      </c>
      <c r="J16" s="131">
        <f t="shared" si="1"/>
        <v>390</v>
      </c>
      <c r="K16" s="131">
        <f t="shared" si="1"/>
        <v>390</v>
      </c>
      <c r="L16" s="131">
        <f t="shared" si="1"/>
        <v>390</v>
      </c>
      <c r="M16" s="131">
        <f t="shared" si="1"/>
        <v>390</v>
      </c>
      <c r="N16" s="131">
        <f t="shared" si="1"/>
        <v>390</v>
      </c>
      <c r="O16" s="131">
        <f t="shared" si="1"/>
        <v>390</v>
      </c>
      <c r="P16" s="131">
        <f>SUM(D16:O16)</f>
        <v>4680</v>
      </c>
      <c r="Q16" s="1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36.42578125" style="64" customWidth="1"/>
    <col min="2" max="2" width="15.5703125" style="64" bestFit="1" customWidth="1"/>
    <col min="3" max="3" width="5.7109375" style="64" customWidth="1"/>
    <col min="4" max="4" width="5.42578125" style="64" customWidth="1"/>
    <col min="5" max="5" width="6.28515625" style="69" customWidth="1"/>
    <col min="6" max="6" width="10.7109375" style="70" customWidth="1"/>
    <col min="7" max="7" width="19.140625" style="64" customWidth="1"/>
    <col min="8" max="8" width="13.7109375" style="72" customWidth="1"/>
    <col min="9" max="9" width="12.42578125" style="72" customWidth="1"/>
    <col min="10" max="10" width="13.7109375" style="72" customWidth="1"/>
    <col min="11" max="11" width="15.85546875" style="64" customWidth="1"/>
    <col min="12" max="12" width="15.5703125" style="64" customWidth="1"/>
    <col min="13" max="13" width="14.28515625" style="64" bestFit="1" customWidth="1"/>
    <col min="14" max="14" width="9.140625" style="64"/>
    <col min="15" max="15" width="19.5703125" style="64" bestFit="1" customWidth="1"/>
    <col min="16" max="16" width="15" style="64" customWidth="1"/>
    <col min="17" max="16384" width="9.140625" style="64"/>
  </cols>
  <sheetData>
    <row r="2" spans="1:16" ht="30" x14ac:dyDescent="0.25">
      <c r="E2" s="65"/>
      <c r="F2" s="66" t="s">
        <v>327</v>
      </c>
      <c r="G2" s="65" t="s">
        <v>224</v>
      </c>
      <c r="H2" s="67" t="s">
        <v>328</v>
      </c>
      <c r="I2" s="67" t="s">
        <v>329</v>
      </c>
      <c r="J2" s="67" t="s">
        <v>330</v>
      </c>
      <c r="K2" s="65" t="s">
        <v>331</v>
      </c>
      <c r="L2" s="65" t="s">
        <v>332</v>
      </c>
      <c r="M2" s="65" t="s">
        <v>223</v>
      </c>
    </row>
    <row r="3" spans="1:16" x14ac:dyDescent="0.25">
      <c r="A3" s="64" t="s">
        <v>333</v>
      </c>
      <c r="B3" s="68">
        <v>1.49E-2</v>
      </c>
      <c r="E3" s="69">
        <v>1</v>
      </c>
      <c r="F3" s="70">
        <v>42470</v>
      </c>
      <c r="G3" s="71">
        <f>$B$14</f>
        <v>4000000</v>
      </c>
      <c r="H3" s="72">
        <f t="shared" ref="H3:H57" si="0">$B$17</f>
        <v>19096.61</v>
      </c>
      <c r="I3" s="72">
        <f>$H3-$J3</f>
        <v>5763.2800000000007</v>
      </c>
      <c r="J3" s="72">
        <f t="shared" ref="J3:J57" si="1">ROUND($G3*($B$15/12), 2)</f>
        <v>13333.33</v>
      </c>
      <c r="K3" s="72">
        <f>I3</f>
        <v>5763.2800000000007</v>
      </c>
      <c r="L3" s="72">
        <f>J3</f>
        <v>13333.33</v>
      </c>
      <c r="M3" s="71">
        <f>$G3-$I3</f>
        <v>3994236.72</v>
      </c>
    </row>
    <row r="4" spans="1:16" x14ac:dyDescent="0.25">
      <c r="A4" s="64" t="s">
        <v>334</v>
      </c>
      <c r="B4" s="68">
        <v>0.03</v>
      </c>
      <c r="E4" s="69">
        <v>2</v>
      </c>
      <c r="F4" s="70">
        <v>42500</v>
      </c>
      <c r="G4" s="71">
        <f>$M3</f>
        <v>3994236.72</v>
      </c>
      <c r="H4" s="72">
        <f t="shared" si="0"/>
        <v>19096.61</v>
      </c>
      <c r="I4" s="72">
        <f t="shared" ref="I4:I57" si="2">$H4-$J4</f>
        <v>5782.49</v>
      </c>
      <c r="J4" s="72">
        <f t="shared" si="1"/>
        <v>13314.12</v>
      </c>
      <c r="K4" s="71">
        <f>$I4+$K3</f>
        <v>11545.77</v>
      </c>
      <c r="L4" s="71">
        <f>$J4+$L3</f>
        <v>26647.45</v>
      </c>
      <c r="M4" s="71">
        <f t="shared" ref="M4:M57" si="3">$G4-$I4</f>
        <v>3988454.23</v>
      </c>
    </row>
    <row r="5" spans="1:16" x14ac:dyDescent="0.25">
      <c r="A5" s="64" t="s">
        <v>318</v>
      </c>
      <c r="B5" s="73">
        <v>0</v>
      </c>
      <c r="E5" s="69">
        <v>3</v>
      </c>
      <c r="F5" s="70">
        <v>42531</v>
      </c>
      <c r="G5" s="71">
        <f t="shared" ref="G5:G57" si="4">$M4</f>
        <v>3988454.23</v>
      </c>
      <c r="H5" s="72">
        <f t="shared" si="0"/>
        <v>19096.61</v>
      </c>
      <c r="I5" s="72">
        <f t="shared" si="2"/>
        <v>5801.76</v>
      </c>
      <c r="J5" s="72">
        <f t="shared" si="1"/>
        <v>13294.85</v>
      </c>
      <c r="K5" s="71">
        <f t="shared" ref="K5:K57" si="5">$I5+$K4</f>
        <v>17347.53</v>
      </c>
      <c r="L5" s="71">
        <f t="shared" ref="L5:L57" si="6">$J5+$L4</f>
        <v>39942.300000000003</v>
      </c>
      <c r="M5" s="71">
        <f t="shared" si="3"/>
        <v>3982652.47</v>
      </c>
      <c r="O5" s="74" t="s">
        <v>335</v>
      </c>
      <c r="P5" s="75"/>
    </row>
    <row r="6" spans="1:16" x14ac:dyDescent="0.25">
      <c r="E6" s="69">
        <v>4</v>
      </c>
      <c r="F6" s="70">
        <v>42561</v>
      </c>
      <c r="G6" s="71">
        <f t="shared" si="4"/>
        <v>3982652.47</v>
      </c>
      <c r="H6" s="72">
        <f t="shared" si="0"/>
        <v>19096.61</v>
      </c>
      <c r="I6" s="72">
        <f t="shared" si="2"/>
        <v>5821.1</v>
      </c>
      <c r="J6" s="72">
        <f t="shared" si="1"/>
        <v>13275.51</v>
      </c>
      <c r="K6" s="71">
        <f t="shared" si="5"/>
        <v>23168.629999999997</v>
      </c>
      <c r="L6" s="71">
        <f t="shared" si="6"/>
        <v>53217.810000000005</v>
      </c>
      <c r="M6" s="71">
        <f t="shared" si="3"/>
        <v>3976831.37</v>
      </c>
      <c r="O6" s="76" t="s">
        <v>336</v>
      </c>
      <c r="P6" s="77">
        <v>1320</v>
      </c>
    </row>
    <row r="7" spans="1:16" x14ac:dyDescent="0.25">
      <c r="E7" s="69">
        <v>5</v>
      </c>
      <c r="F7" s="70">
        <v>42592</v>
      </c>
      <c r="G7" s="71">
        <f t="shared" si="4"/>
        <v>3976831.37</v>
      </c>
      <c r="H7" s="72">
        <f t="shared" si="0"/>
        <v>19096.61</v>
      </c>
      <c r="I7" s="72">
        <f t="shared" si="2"/>
        <v>5840.51</v>
      </c>
      <c r="J7" s="72">
        <f t="shared" si="1"/>
        <v>13256.1</v>
      </c>
      <c r="K7" s="71">
        <f t="shared" si="5"/>
        <v>29009.14</v>
      </c>
      <c r="L7" s="71">
        <f t="shared" si="6"/>
        <v>66473.91</v>
      </c>
      <c r="M7" s="71">
        <f t="shared" si="3"/>
        <v>3970990.8600000003</v>
      </c>
      <c r="O7" s="76" t="s">
        <v>337</v>
      </c>
      <c r="P7" s="78" t="s">
        <v>338</v>
      </c>
    </row>
    <row r="8" spans="1:16" x14ac:dyDescent="0.25">
      <c r="A8" s="79" t="s">
        <v>339</v>
      </c>
      <c r="B8" s="80">
        <v>4000000</v>
      </c>
      <c r="E8" s="69">
        <v>6</v>
      </c>
      <c r="F8" s="70">
        <v>42623</v>
      </c>
      <c r="G8" s="71">
        <f t="shared" si="4"/>
        <v>3970990.8600000003</v>
      </c>
      <c r="H8" s="72">
        <f t="shared" si="0"/>
        <v>19096.61</v>
      </c>
      <c r="I8" s="72">
        <f t="shared" si="2"/>
        <v>5859.9700000000012</v>
      </c>
      <c r="J8" s="72">
        <f t="shared" si="1"/>
        <v>13236.64</v>
      </c>
      <c r="K8" s="71">
        <f t="shared" si="5"/>
        <v>34869.11</v>
      </c>
      <c r="L8" s="71">
        <f t="shared" si="6"/>
        <v>79710.55</v>
      </c>
      <c r="M8" s="71">
        <f t="shared" si="3"/>
        <v>3965130.89</v>
      </c>
      <c r="O8" s="76"/>
      <c r="P8" s="78"/>
    </row>
    <row r="9" spans="1:16" x14ac:dyDescent="0.25">
      <c r="A9" s="79" t="s">
        <v>340</v>
      </c>
      <c r="B9" s="81">
        <v>0.04</v>
      </c>
      <c r="E9" s="69">
        <v>7</v>
      </c>
      <c r="F9" s="70">
        <v>42653</v>
      </c>
      <c r="G9" s="71">
        <f t="shared" si="4"/>
        <v>3965130.89</v>
      </c>
      <c r="H9" s="72">
        <f t="shared" si="0"/>
        <v>19096.61</v>
      </c>
      <c r="I9" s="72">
        <f t="shared" si="2"/>
        <v>5879.51</v>
      </c>
      <c r="J9" s="72">
        <f t="shared" si="1"/>
        <v>13217.1</v>
      </c>
      <c r="K9" s="71">
        <f t="shared" si="5"/>
        <v>40748.620000000003</v>
      </c>
      <c r="L9" s="71">
        <f t="shared" si="6"/>
        <v>92927.650000000009</v>
      </c>
      <c r="M9" s="71">
        <f t="shared" si="3"/>
        <v>3959251.3800000004</v>
      </c>
      <c r="O9" s="76" t="s">
        <v>341</v>
      </c>
      <c r="P9" s="82">
        <f>SUM(P6:P8)</f>
        <v>1320</v>
      </c>
    </row>
    <row r="10" spans="1:16" x14ac:dyDescent="0.25">
      <c r="A10" s="79" t="s">
        <v>342</v>
      </c>
      <c r="B10" s="79">
        <v>12</v>
      </c>
      <c r="E10" s="69">
        <v>8</v>
      </c>
      <c r="F10" s="70">
        <v>42684</v>
      </c>
      <c r="G10" s="71">
        <f t="shared" si="4"/>
        <v>3959251.3800000004</v>
      </c>
      <c r="H10" s="72">
        <f t="shared" si="0"/>
        <v>19096.61</v>
      </c>
      <c r="I10" s="72">
        <f t="shared" si="2"/>
        <v>5899.1100000000006</v>
      </c>
      <c r="J10" s="72">
        <f t="shared" si="1"/>
        <v>13197.5</v>
      </c>
      <c r="K10" s="71">
        <f t="shared" si="5"/>
        <v>46647.73</v>
      </c>
      <c r="L10" s="71">
        <f t="shared" si="6"/>
        <v>106125.15000000001</v>
      </c>
      <c r="M10" s="71">
        <f t="shared" si="3"/>
        <v>3953352.2700000005</v>
      </c>
      <c r="O10" s="76"/>
      <c r="P10" s="78"/>
    </row>
    <row r="11" spans="1:16" x14ac:dyDescent="0.25">
      <c r="A11" s="79" t="s">
        <v>343</v>
      </c>
      <c r="B11" s="80">
        <f>((B9/B10)*B8)</f>
        <v>13333.333333333334</v>
      </c>
      <c r="E11" s="69">
        <v>9</v>
      </c>
      <c r="F11" s="70">
        <v>42714</v>
      </c>
      <c r="G11" s="71">
        <f t="shared" si="4"/>
        <v>3953352.2700000005</v>
      </c>
      <c r="H11" s="72">
        <f t="shared" si="0"/>
        <v>19096.61</v>
      </c>
      <c r="I11" s="72">
        <f t="shared" si="2"/>
        <v>5918.77</v>
      </c>
      <c r="J11" s="72">
        <f t="shared" si="1"/>
        <v>13177.84</v>
      </c>
      <c r="K11" s="71">
        <f t="shared" si="5"/>
        <v>52566.5</v>
      </c>
      <c r="L11" s="71">
        <f t="shared" si="6"/>
        <v>119302.99</v>
      </c>
      <c r="M11" s="71">
        <f t="shared" si="3"/>
        <v>3947433.5000000005</v>
      </c>
      <c r="O11" s="76" t="s">
        <v>344</v>
      </c>
      <c r="P11" s="82">
        <v>13855</v>
      </c>
    </row>
    <row r="12" spans="1:16" x14ac:dyDescent="0.25">
      <c r="E12" s="69">
        <v>10</v>
      </c>
      <c r="F12" s="70">
        <v>42745</v>
      </c>
      <c r="G12" s="71">
        <f t="shared" si="4"/>
        <v>3947433.5000000005</v>
      </c>
      <c r="H12" s="72">
        <f t="shared" si="0"/>
        <v>19096.61</v>
      </c>
      <c r="I12" s="72">
        <f t="shared" si="2"/>
        <v>5938.5</v>
      </c>
      <c r="J12" s="72">
        <f t="shared" si="1"/>
        <v>13158.11</v>
      </c>
      <c r="K12" s="71">
        <f t="shared" si="5"/>
        <v>58505</v>
      </c>
      <c r="L12" s="71">
        <f t="shared" si="6"/>
        <v>132461.1</v>
      </c>
      <c r="M12" s="71">
        <f t="shared" si="3"/>
        <v>3941495.0000000005</v>
      </c>
      <c r="O12" s="83" t="s">
        <v>345</v>
      </c>
      <c r="P12" s="84">
        <v>13855</v>
      </c>
    </row>
    <row r="13" spans="1:16" x14ac:dyDescent="0.25">
      <c r="E13" s="69">
        <v>11</v>
      </c>
      <c r="F13" s="70">
        <v>42776</v>
      </c>
      <c r="G13" s="71">
        <f t="shared" si="4"/>
        <v>3941495.0000000005</v>
      </c>
      <c r="H13" s="72">
        <f t="shared" si="0"/>
        <v>19096.61</v>
      </c>
      <c r="I13" s="72">
        <f t="shared" si="2"/>
        <v>5958.2900000000009</v>
      </c>
      <c r="J13" s="72">
        <f t="shared" si="1"/>
        <v>13138.32</v>
      </c>
      <c r="K13" s="71">
        <f t="shared" si="5"/>
        <v>64463.29</v>
      </c>
      <c r="L13" s="71">
        <f t="shared" si="6"/>
        <v>145599.42000000001</v>
      </c>
      <c r="M13" s="71">
        <f t="shared" si="3"/>
        <v>3935536.7100000004</v>
      </c>
      <c r="P13" s="72"/>
    </row>
    <row r="14" spans="1:16" s="65" customFormat="1" x14ac:dyDescent="0.25">
      <c r="A14" s="70" t="s">
        <v>339</v>
      </c>
      <c r="B14" s="73">
        <v>4000000</v>
      </c>
      <c r="E14" s="69">
        <v>12</v>
      </c>
      <c r="F14" s="70">
        <v>42804</v>
      </c>
      <c r="G14" s="71">
        <f t="shared" si="4"/>
        <v>3935536.7100000004</v>
      </c>
      <c r="H14" s="72">
        <f t="shared" si="0"/>
        <v>19096.61</v>
      </c>
      <c r="I14" s="72">
        <f t="shared" si="2"/>
        <v>5978.1500000000015</v>
      </c>
      <c r="J14" s="72">
        <f t="shared" si="1"/>
        <v>13118.46</v>
      </c>
      <c r="K14" s="71">
        <f t="shared" si="5"/>
        <v>70441.440000000002</v>
      </c>
      <c r="L14" s="71">
        <f t="shared" si="6"/>
        <v>158717.88</v>
      </c>
      <c r="M14" s="71">
        <f t="shared" si="3"/>
        <v>3929558.5600000005</v>
      </c>
      <c r="O14" s="85" t="s">
        <v>346</v>
      </c>
      <c r="P14" s="86"/>
    </row>
    <row r="15" spans="1:16" x14ac:dyDescent="0.25">
      <c r="A15" s="70" t="s">
        <v>340</v>
      </c>
      <c r="B15" s="68">
        <v>0.04</v>
      </c>
      <c r="E15" s="69">
        <v>13</v>
      </c>
      <c r="F15" s="70">
        <v>42835</v>
      </c>
      <c r="G15" s="71">
        <f t="shared" si="4"/>
        <v>3929558.5600000005</v>
      </c>
      <c r="H15" s="72">
        <f t="shared" si="0"/>
        <v>19096.61</v>
      </c>
      <c r="I15" s="72">
        <f t="shared" si="2"/>
        <v>5998.08</v>
      </c>
      <c r="J15" s="72">
        <f t="shared" si="1"/>
        <v>13098.53</v>
      </c>
      <c r="K15" s="71">
        <f t="shared" si="5"/>
        <v>76439.520000000004</v>
      </c>
      <c r="L15" s="71">
        <f t="shared" si="6"/>
        <v>171816.41</v>
      </c>
      <c r="M15" s="71">
        <f t="shared" si="3"/>
        <v>3923560.4800000004</v>
      </c>
      <c r="O15" s="76" t="s">
        <v>336</v>
      </c>
      <c r="P15" s="87">
        <v>1215</v>
      </c>
    </row>
    <row r="16" spans="1:16" x14ac:dyDescent="0.25">
      <c r="A16" s="70" t="s">
        <v>347</v>
      </c>
      <c r="B16" s="88">
        <v>360</v>
      </c>
      <c r="E16" s="69">
        <v>14</v>
      </c>
      <c r="F16" s="70">
        <v>42865</v>
      </c>
      <c r="G16" s="71">
        <f t="shared" si="4"/>
        <v>3923560.4800000004</v>
      </c>
      <c r="H16" s="72">
        <f t="shared" si="0"/>
        <v>19096.61</v>
      </c>
      <c r="I16" s="72">
        <f t="shared" si="2"/>
        <v>6018.08</v>
      </c>
      <c r="J16" s="72">
        <f t="shared" si="1"/>
        <v>13078.53</v>
      </c>
      <c r="K16" s="71">
        <f t="shared" si="5"/>
        <v>82457.600000000006</v>
      </c>
      <c r="L16" s="71">
        <f t="shared" si="6"/>
        <v>184894.94</v>
      </c>
      <c r="M16" s="71">
        <f t="shared" si="3"/>
        <v>3917542.4000000004</v>
      </c>
      <c r="O16" s="76" t="s">
        <v>337</v>
      </c>
      <c r="P16" s="82">
        <v>28986</v>
      </c>
    </row>
    <row r="17" spans="1:16" x14ac:dyDescent="0.25">
      <c r="A17" s="70" t="s">
        <v>343</v>
      </c>
      <c r="B17" s="89">
        <f>ROUND(PMT($B$15/12,$B$16,-$B$14,0), 2)</f>
        <v>19096.61</v>
      </c>
      <c r="E17" s="90">
        <v>15</v>
      </c>
      <c r="F17" s="70">
        <v>42896</v>
      </c>
      <c r="G17" s="91">
        <f t="shared" si="4"/>
        <v>3917542.4000000004</v>
      </c>
      <c r="H17" s="92">
        <f t="shared" si="0"/>
        <v>19096.61</v>
      </c>
      <c r="I17" s="92">
        <f t="shared" si="2"/>
        <v>6038.1400000000012</v>
      </c>
      <c r="J17" s="92">
        <f t="shared" si="1"/>
        <v>13058.47</v>
      </c>
      <c r="K17" s="91">
        <f t="shared" si="5"/>
        <v>88495.74</v>
      </c>
      <c r="L17" s="91">
        <f t="shared" si="6"/>
        <v>197953.41</v>
      </c>
      <c r="M17" s="91">
        <f t="shared" si="3"/>
        <v>3911504.2600000002</v>
      </c>
      <c r="O17" s="76"/>
      <c r="P17" s="78"/>
    </row>
    <row r="18" spans="1:16" x14ac:dyDescent="0.25">
      <c r="E18" s="69">
        <v>16</v>
      </c>
      <c r="F18" s="70">
        <v>42926</v>
      </c>
      <c r="G18" s="71">
        <f t="shared" si="4"/>
        <v>3911504.2600000002</v>
      </c>
      <c r="H18" s="72">
        <f t="shared" si="0"/>
        <v>19096.61</v>
      </c>
      <c r="I18" s="72">
        <f t="shared" si="2"/>
        <v>6058.26</v>
      </c>
      <c r="J18" s="72">
        <f t="shared" si="1"/>
        <v>13038.35</v>
      </c>
      <c r="K18" s="71">
        <f t="shared" si="5"/>
        <v>94554</v>
      </c>
      <c r="L18" s="71">
        <f t="shared" si="6"/>
        <v>210991.76</v>
      </c>
      <c r="M18" s="71">
        <f t="shared" si="3"/>
        <v>3905446.0000000005</v>
      </c>
      <c r="O18" s="76" t="s">
        <v>341</v>
      </c>
      <c r="P18" s="78"/>
    </row>
    <row r="19" spans="1:16" x14ac:dyDescent="0.25">
      <c r="A19" s="65"/>
      <c r="B19" s="65"/>
      <c r="E19" s="69">
        <v>17</v>
      </c>
      <c r="F19" s="70">
        <v>42957</v>
      </c>
      <c r="G19" s="71">
        <f t="shared" si="4"/>
        <v>3905446.0000000005</v>
      </c>
      <c r="H19" s="72">
        <f t="shared" si="0"/>
        <v>19096.61</v>
      </c>
      <c r="I19" s="72">
        <f t="shared" si="2"/>
        <v>6078.4600000000009</v>
      </c>
      <c r="J19" s="72">
        <f t="shared" si="1"/>
        <v>13018.15</v>
      </c>
      <c r="K19" s="71">
        <f t="shared" si="5"/>
        <v>100632.46</v>
      </c>
      <c r="L19" s="71">
        <f t="shared" si="6"/>
        <v>224009.91</v>
      </c>
      <c r="M19" s="71">
        <f t="shared" si="3"/>
        <v>3899367.5400000005</v>
      </c>
      <c r="O19" s="76"/>
      <c r="P19" s="78"/>
    </row>
    <row r="20" spans="1:16" x14ac:dyDescent="0.25">
      <c r="E20" s="69">
        <v>18</v>
      </c>
      <c r="F20" s="70">
        <v>42988</v>
      </c>
      <c r="G20" s="71">
        <f t="shared" si="4"/>
        <v>3899367.5400000005</v>
      </c>
      <c r="H20" s="72">
        <f t="shared" si="0"/>
        <v>19096.61</v>
      </c>
      <c r="I20" s="72">
        <f t="shared" si="2"/>
        <v>6098.7200000000012</v>
      </c>
      <c r="J20" s="72">
        <f t="shared" si="1"/>
        <v>12997.89</v>
      </c>
      <c r="K20" s="71">
        <f t="shared" si="5"/>
        <v>106731.18000000001</v>
      </c>
      <c r="L20" s="71">
        <f t="shared" si="6"/>
        <v>237007.8</v>
      </c>
      <c r="M20" s="71">
        <f t="shared" si="3"/>
        <v>3893268.8200000003</v>
      </c>
      <c r="O20" s="76" t="s">
        <v>344</v>
      </c>
      <c r="P20" s="93">
        <f>P$16/2</f>
        <v>14493</v>
      </c>
    </row>
    <row r="21" spans="1:16" x14ac:dyDescent="0.25">
      <c r="E21" s="69">
        <v>19</v>
      </c>
      <c r="F21" s="70">
        <v>43018</v>
      </c>
      <c r="G21" s="71">
        <f t="shared" si="4"/>
        <v>3893268.8200000003</v>
      </c>
      <c r="H21" s="72">
        <f t="shared" si="0"/>
        <v>19096.61</v>
      </c>
      <c r="I21" s="72">
        <f t="shared" si="2"/>
        <v>6119.0500000000011</v>
      </c>
      <c r="J21" s="72">
        <f t="shared" si="1"/>
        <v>12977.56</v>
      </c>
      <c r="K21" s="71">
        <f t="shared" si="5"/>
        <v>112850.23000000001</v>
      </c>
      <c r="L21" s="71">
        <f t="shared" si="6"/>
        <v>249985.36</v>
      </c>
      <c r="M21" s="71">
        <f t="shared" si="3"/>
        <v>3887149.7700000005</v>
      </c>
      <c r="O21" s="83" t="s">
        <v>348</v>
      </c>
      <c r="P21" s="94">
        <f>P$16/2</f>
        <v>14493</v>
      </c>
    </row>
    <row r="22" spans="1:16" x14ac:dyDescent="0.25">
      <c r="E22" s="69">
        <v>20</v>
      </c>
      <c r="F22" s="70">
        <v>43049</v>
      </c>
      <c r="G22" s="71">
        <f t="shared" si="4"/>
        <v>3887149.7700000005</v>
      </c>
      <c r="H22" s="72">
        <f t="shared" si="0"/>
        <v>19096.61</v>
      </c>
      <c r="I22" s="72">
        <f t="shared" si="2"/>
        <v>6139.4400000000005</v>
      </c>
      <c r="J22" s="72">
        <f t="shared" si="1"/>
        <v>12957.17</v>
      </c>
      <c r="K22" s="71">
        <f t="shared" si="5"/>
        <v>118989.67000000001</v>
      </c>
      <c r="L22" s="71">
        <f t="shared" si="6"/>
        <v>262942.52999999997</v>
      </c>
      <c r="M22" s="71">
        <f t="shared" si="3"/>
        <v>3881010.3300000005</v>
      </c>
    </row>
    <row r="23" spans="1:16" x14ac:dyDescent="0.25">
      <c r="E23" s="69">
        <v>21</v>
      </c>
      <c r="F23" s="70">
        <v>43079</v>
      </c>
      <c r="G23" s="71">
        <f t="shared" si="4"/>
        <v>3881010.3300000005</v>
      </c>
      <c r="H23" s="72">
        <f t="shared" si="0"/>
        <v>19096.61</v>
      </c>
      <c r="I23" s="72">
        <f t="shared" si="2"/>
        <v>6159.91</v>
      </c>
      <c r="J23" s="72">
        <f t="shared" si="1"/>
        <v>12936.7</v>
      </c>
      <c r="K23" s="71">
        <f t="shared" si="5"/>
        <v>125149.58000000002</v>
      </c>
      <c r="L23" s="71">
        <f t="shared" si="6"/>
        <v>275879.23</v>
      </c>
      <c r="M23" s="71">
        <f t="shared" si="3"/>
        <v>3874850.4200000004</v>
      </c>
      <c r="O23" s="74" t="s">
        <v>349</v>
      </c>
      <c r="P23" s="75"/>
    </row>
    <row r="24" spans="1:16" x14ac:dyDescent="0.25">
      <c r="E24" s="69">
        <v>22</v>
      </c>
      <c r="F24" s="70">
        <v>43110</v>
      </c>
      <c r="G24" s="71">
        <f t="shared" si="4"/>
        <v>3874850.4200000004</v>
      </c>
      <c r="H24" s="72">
        <f t="shared" si="0"/>
        <v>19096.61</v>
      </c>
      <c r="I24" s="72">
        <f t="shared" si="2"/>
        <v>6180.4400000000005</v>
      </c>
      <c r="J24" s="72">
        <f t="shared" si="1"/>
        <v>12916.17</v>
      </c>
      <c r="K24" s="71">
        <f t="shared" si="5"/>
        <v>131330.02000000002</v>
      </c>
      <c r="L24" s="71">
        <f t="shared" si="6"/>
        <v>288795.39999999997</v>
      </c>
      <c r="M24" s="71">
        <f t="shared" si="3"/>
        <v>3868669.9800000004</v>
      </c>
      <c r="O24" s="76" t="s">
        <v>336</v>
      </c>
      <c r="P24" s="77">
        <v>1215</v>
      </c>
    </row>
    <row r="25" spans="1:16" x14ac:dyDescent="0.25">
      <c r="E25" s="69">
        <v>23</v>
      </c>
      <c r="F25" s="70">
        <v>43141</v>
      </c>
      <c r="G25" s="71">
        <f t="shared" si="4"/>
        <v>3868669.9800000004</v>
      </c>
      <c r="H25" s="72">
        <f t="shared" si="0"/>
        <v>19096.61</v>
      </c>
      <c r="I25" s="72">
        <f t="shared" si="2"/>
        <v>6201.0400000000009</v>
      </c>
      <c r="J25" s="72">
        <f t="shared" si="1"/>
        <v>12895.57</v>
      </c>
      <c r="K25" s="71">
        <f t="shared" si="5"/>
        <v>137531.06000000003</v>
      </c>
      <c r="L25" s="71">
        <f t="shared" si="6"/>
        <v>301690.96999999997</v>
      </c>
      <c r="M25" s="71">
        <f t="shared" si="3"/>
        <v>3862468.9400000004</v>
      </c>
      <c r="O25" s="76" t="s">
        <v>337</v>
      </c>
      <c r="P25" s="82">
        <v>32043</v>
      </c>
    </row>
    <row r="26" spans="1:16" x14ac:dyDescent="0.25">
      <c r="E26" s="69">
        <v>24</v>
      </c>
      <c r="F26" s="70">
        <v>43169</v>
      </c>
      <c r="G26" s="71">
        <f t="shared" si="4"/>
        <v>3862468.9400000004</v>
      </c>
      <c r="H26" s="72">
        <f t="shared" si="0"/>
        <v>19096.61</v>
      </c>
      <c r="I26" s="72">
        <f t="shared" si="2"/>
        <v>6221.7100000000009</v>
      </c>
      <c r="J26" s="72">
        <f t="shared" si="1"/>
        <v>12874.9</v>
      </c>
      <c r="K26" s="71">
        <f t="shared" si="5"/>
        <v>143752.77000000002</v>
      </c>
      <c r="L26" s="71">
        <f t="shared" si="6"/>
        <v>314565.87</v>
      </c>
      <c r="M26" s="71">
        <f t="shared" si="3"/>
        <v>3856247.2300000004</v>
      </c>
      <c r="O26" s="76"/>
      <c r="P26" s="78"/>
    </row>
    <row r="27" spans="1:16" x14ac:dyDescent="0.25">
      <c r="E27" s="69">
        <v>25</v>
      </c>
      <c r="F27" s="70">
        <v>43200</v>
      </c>
      <c r="G27" s="71">
        <f t="shared" si="4"/>
        <v>3856247.2300000004</v>
      </c>
      <c r="H27" s="72">
        <f t="shared" si="0"/>
        <v>19096.61</v>
      </c>
      <c r="I27" s="72">
        <f t="shared" si="2"/>
        <v>6242.4500000000007</v>
      </c>
      <c r="J27" s="72">
        <f t="shared" si="1"/>
        <v>12854.16</v>
      </c>
      <c r="K27" s="71">
        <f t="shared" si="5"/>
        <v>149995.22000000003</v>
      </c>
      <c r="L27" s="71">
        <f t="shared" si="6"/>
        <v>327420.02999999997</v>
      </c>
      <c r="M27" s="71">
        <f t="shared" si="3"/>
        <v>3850004.7800000003</v>
      </c>
      <c r="O27" s="76" t="s">
        <v>341</v>
      </c>
      <c r="P27" s="78"/>
    </row>
    <row r="28" spans="1:16" x14ac:dyDescent="0.25">
      <c r="E28" s="69">
        <v>26</v>
      </c>
      <c r="F28" s="70">
        <v>43230</v>
      </c>
      <c r="G28" s="71">
        <f t="shared" si="4"/>
        <v>3850004.7800000003</v>
      </c>
      <c r="H28" s="72">
        <f t="shared" si="0"/>
        <v>19096.61</v>
      </c>
      <c r="I28" s="72">
        <f t="shared" si="2"/>
        <v>6263.26</v>
      </c>
      <c r="J28" s="72">
        <f t="shared" si="1"/>
        <v>12833.35</v>
      </c>
      <c r="K28" s="71">
        <f t="shared" si="5"/>
        <v>156258.48000000004</v>
      </c>
      <c r="L28" s="71">
        <f t="shared" si="6"/>
        <v>340253.37999999995</v>
      </c>
      <c r="M28" s="71">
        <f t="shared" si="3"/>
        <v>3843741.5200000005</v>
      </c>
      <c r="O28" s="76"/>
      <c r="P28" s="78"/>
    </row>
    <row r="29" spans="1:16" x14ac:dyDescent="0.25">
      <c r="E29" s="69">
        <v>27</v>
      </c>
      <c r="F29" s="70">
        <v>43261</v>
      </c>
      <c r="G29" s="71">
        <f t="shared" si="4"/>
        <v>3843741.5200000005</v>
      </c>
      <c r="H29" s="72">
        <f t="shared" si="0"/>
        <v>19096.61</v>
      </c>
      <c r="I29" s="72">
        <f t="shared" si="2"/>
        <v>6284.1400000000012</v>
      </c>
      <c r="J29" s="72">
        <f t="shared" si="1"/>
        <v>12812.47</v>
      </c>
      <c r="K29" s="71">
        <f t="shared" si="5"/>
        <v>162542.62000000005</v>
      </c>
      <c r="L29" s="71">
        <f t="shared" si="6"/>
        <v>353065.84999999992</v>
      </c>
      <c r="M29" s="71">
        <f t="shared" si="3"/>
        <v>3837457.3800000004</v>
      </c>
      <c r="O29" s="76" t="s">
        <v>344</v>
      </c>
      <c r="P29" s="93">
        <f>P$25/3</f>
        <v>10681</v>
      </c>
    </row>
    <row r="30" spans="1:16" x14ac:dyDescent="0.25">
      <c r="E30" s="69">
        <v>28</v>
      </c>
      <c r="F30" s="70">
        <v>43291</v>
      </c>
      <c r="G30" s="71">
        <f t="shared" si="4"/>
        <v>3837457.3800000004</v>
      </c>
      <c r="H30" s="72">
        <f t="shared" si="0"/>
        <v>19096.61</v>
      </c>
      <c r="I30" s="72">
        <f t="shared" si="2"/>
        <v>6305.09</v>
      </c>
      <c r="J30" s="72">
        <f t="shared" si="1"/>
        <v>12791.52</v>
      </c>
      <c r="K30" s="71">
        <f t="shared" si="5"/>
        <v>168847.71000000005</v>
      </c>
      <c r="L30" s="71">
        <f t="shared" si="6"/>
        <v>365857.36999999994</v>
      </c>
      <c r="M30" s="71">
        <f t="shared" si="3"/>
        <v>3831152.2900000005</v>
      </c>
      <c r="O30" s="76" t="s">
        <v>345</v>
      </c>
      <c r="P30" s="93">
        <f t="shared" ref="P30:P31" si="7">P$25/3</f>
        <v>10681</v>
      </c>
    </row>
    <row r="31" spans="1:16" x14ac:dyDescent="0.25">
      <c r="E31" s="69">
        <v>29</v>
      </c>
      <c r="F31" s="70">
        <v>43322</v>
      </c>
      <c r="G31" s="71">
        <f t="shared" si="4"/>
        <v>3831152.2900000005</v>
      </c>
      <c r="H31" s="72">
        <f t="shared" si="0"/>
        <v>19096.61</v>
      </c>
      <c r="I31" s="72">
        <f t="shared" si="2"/>
        <v>6326.1</v>
      </c>
      <c r="J31" s="72">
        <f t="shared" si="1"/>
        <v>12770.51</v>
      </c>
      <c r="K31" s="71">
        <f t="shared" si="5"/>
        <v>175173.81000000006</v>
      </c>
      <c r="L31" s="71">
        <f t="shared" si="6"/>
        <v>378627.87999999995</v>
      </c>
      <c r="M31" s="71">
        <f t="shared" si="3"/>
        <v>3824826.1900000004</v>
      </c>
      <c r="O31" s="83" t="s">
        <v>350</v>
      </c>
      <c r="P31" s="94">
        <f t="shared" si="7"/>
        <v>10681</v>
      </c>
    </row>
    <row r="32" spans="1:16" x14ac:dyDescent="0.25">
      <c r="E32" s="69">
        <v>30</v>
      </c>
      <c r="F32" s="70">
        <v>43353</v>
      </c>
      <c r="G32" s="71">
        <f t="shared" si="4"/>
        <v>3824826.1900000004</v>
      </c>
      <c r="H32" s="72">
        <f t="shared" si="0"/>
        <v>19096.61</v>
      </c>
      <c r="I32" s="72">
        <f t="shared" si="2"/>
        <v>6347.1900000000005</v>
      </c>
      <c r="J32" s="72">
        <f t="shared" si="1"/>
        <v>12749.42</v>
      </c>
      <c r="K32" s="71">
        <f t="shared" si="5"/>
        <v>181521.00000000006</v>
      </c>
      <c r="L32" s="71">
        <f t="shared" si="6"/>
        <v>391377.29999999993</v>
      </c>
      <c r="M32" s="71">
        <f t="shared" si="3"/>
        <v>3818479.0000000005</v>
      </c>
    </row>
    <row r="33" spans="5:16" x14ac:dyDescent="0.25">
      <c r="E33" s="69">
        <v>31</v>
      </c>
      <c r="F33" s="70">
        <v>43383</v>
      </c>
      <c r="G33" s="71">
        <f t="shared" si="4"/>
        <v>3818479.0000000005</v>
      </c>
      <c r="H33" s="72">
        <f t="shared" si="0"/>
        <v>19096.61</v>
      </c>
      <c r="I33" s="72">
        <f t="shared" si="2"/>
        <v>6368.35</v>
      </c>
      <c r="J33" s="72">
        <f t="shared" si="1"/>
        <v>12728.26</v>
      </c>
      <c r="K33" s="71">
        <f t="shared" si="5"/>
        <v>187889.35000000006</v>
      </c>
      <c r="L33" s="71">
        <f t="shared" si="6"/>
        <v>404105.55999999994</v>
      </c>
      <c r="M33" s="71">
        <f t="shared" si="3"/>
        <v>3812110.6500000004</v>
      </c>
      <c r="O33" s="74" t="s">
        <v>351</v>
      </c>
      <c r="P33" s="75"/>
    </row>
    <row r="34" spans="5:16" x14ac:dyDescent="0.25">
      <c r="E34" s="69">
        <v>32</v>
      </c>
      <c r="F34" s="70">
        <v>43414</v>
      </c>
      <c r="G34" s="71">
        <f t="shared" si="4"/>
        <v>3812110.6500000004</v>
      </c>
      <c r="H34" s="72">
        <f t="shared" si="0"/>
        <v>19096.61</v>
      </c>
      <c r="I34" s="72">
        <f t="shared" si="2"/>
        <v>6389.57</v>
      </c>
      <c r="J34" s="72">
        <f t="shared" si="1"/>
        <v>12707.04</v>
      </c>
      <c r="K34" s="71">
        <f t="shared" si="5"/>
        <v>194278.92000000007</v>
      </c>
      <c r="L34" s="71">
        <f t="shared" si="6"/>
        <v>416812.59999999992</v>
      </c>
      <c r="M34" s="71">
        <f t="shared" si="3"/>
        <v>3805721.0800000005</v>
      </c>
      <c r="O34" s="83" t="s">
        <v>352</v>
      </c>
      <c r="P34" s="84">
        <v>35000</v>
      </c>
    </row>
    <row r="35" spans="5:16" x14ac:dyDescent="0.25">
      <c r="E35" s="69">
        <v>33</v>
      </c>
      <c r="F35" s="70">
        <v>43444</v>
      </c>
      <c r="G35" s="71">
        <f t="shared" si="4"/>
        <v>3805721.0800000005</v>
      </c>
      <c r="H35" s="72">
        <f t="shared" si="0"/>
        <v>19096.61</v>
      </c>
      <c r="I35" s="72">
        <f t="shared" si="2"/>
        <v>6410.8700000000008</v>
      </c>
      <c r="J35" s="72">
        <f t="shared" si="1"/>
        <v>12685.74</v>
      </c>
      <c r="K35" s="71">
        <f t="shared" si="5"/>
        <v>200689.79000000007</v>
      </c>
      <c r="L35" s="71">
        <f t="shared" si="6"/>
        <v>429498.33999999991</v>
      </c>
      <c r="M35" s="71">
        <f t="shared" si="3"/>
        <v>3799310.2100000004</v>
      </c>
    </row>
    <row r="36" spans="5:16" x14ac:dyDescent="0.25">
      <c r="E36" s="69">
        <v>34</v>
      </c>
      <c r="F36" s="70">
        <v>43475</v>
      </c>
      <c r="G36" s="71">
        <f t="shared" si="4"/>
        <v>3799310.2100000004</v>
      </c>
      <c r="H36" s="72">
        <f t="shared" si="0"/>
        <v>19096.61</v>
      </c>
      <c r="I36" s="72">
        <f t="shared" si="2"/>
        <v>6432.24</v>
      </c>
      <c r="J36" s="72">
        <f t="shared" si="1"/>
        <v>12664.37</v>
      </c>
      <c r="K36" s="71">
        <f t="shared" si="5"/>
        <v>207122.03000000006</v>
      </c>
      <c r="L36" s="71">
        <f t="shared" si="6"/>
        <v>442162.7099999999</v>
      </c>
      <c r="M36" s="71">
        <f t="shared" si="3"/>
        <v>3792877.97</v>
      </c>
    </row>
    <row r="37" spans="5:16" x14ac:dyDescent="0.25">
      <c r="E37" s="69">
        <v>35</v>
      </c>
      <c r="F37" s="70">
        <v>43506</v>
      </c>
      <c r="G37" s="71">
        <f t="shared" si="4"/>
        <v>3792877.97</v>
      </c>
      <c r="H37" s="72">
        <f t="shared" si="0"/>
        <v>19096.61</v>
      </c>
      <c r="I37" s="72">
        <f t="shared" si="2"/>
        <v>6453.68</v>
      </c>
      <c r="J37" s="72">
        <f t="shared" si="1"/>
        <v>12642.93</v>
      </c>
      <c r="K37" s="71">
        <f t="shared" si="5"/>
        <v>213575.71000000005</v>
      </c>
      <c r="L37" s="71">
        <f t="shared" si="6"/>
        <v>454805.6399999999</v>
      </c>
      <c r="M37" s="71">
        <f t="shared" si="3"/>
        <v>3786424.29</v>
      </c>
      <c r="P37" s="95"/>
    </row>
    <row r="38" spans="5:16" s="95" customFormat="1" x14ac:dyDescent="0.25">
      <c r="E38" s="90">
        <v>36</v>
      </c>
      <c r="F38" s="96">
        <v>43534</v>
      </c>
      <c r="G38" s="91">
        <f t="shared" si="4"/>
        <v>3786424.29</v>
      </c>
      <c r="H38" s="92">
        <f t="shared" si="0"/>
        <v>19096.61</v>
      </c>
      <c r="I38" s="92">
        <f t="shared" si="2"/>
        <v>6475.2000000000007</v>
      </c>
      <c r="J38" s="92">
        <f t="shared" si="1"/>
        <v>12621.41</v>
      </c>
      <c r="K38" s="91">
        <f t="shared" si="5"/>
        <v>220050.91000000006</v>
      </c>
      <c r="L38" s="91">
        <f t="shared" si="6"/>
        <v>467427.04999999987</v>
      </c>
      <c r="M38" s="91">
        <f t="shared" si="3"/>
        <v>3779949.09</v>
      </c>
      <c r="O38" s="64"/>
      <c r="P38" s="64"/>
    </row>
    <row r="39" spans="5:16" x14ac:dyDescent="0.25">
      <c r="E39" s="69">
        <v>37</v>
      </c>
      <c r="F39" s="70">
        <v>43565</v>
      </c>
      <c r="G39" s="91">
        <f t="shared" si="4"/>
        <v>3779949.09</v>
      </c>
      <c r="H39" s="92">
        <f t="shared" si="0"/>
        <v>19096.61</v>
      </c>
      <c r="I39" s="92">
        <f t="shared" si="2"/>
        <v>6496.7800000000007</v>
      </c>
      <c r="J39" s="92">
        <f t="shared" si="1"/>
        <v>12599.83</v>
      </c>
      <c r="K39" s="91">
        <f t="shared" si="5"/>
        <v>226547.69000000006</v>
      </c>
      <c r="L39" s="91">
        <f t="shared" si="6"/>
        <v>480026.87999999989</v>
      </c>
      <c r="M39" s="91">
        <f t="shared" si="3"/>
        <v>3773452.31</v>
      </c>
    </row>
    <row r="40" spans="5:16" x14ac:dyDescent="0.25">
      <c r="E40" s="69">
        <v>38</v>
      </c>
      <c r="F40" s="70">
        <v>43595</v>
      </c>
      <c r="G40" s="91">
        <f t="shared" si="4"/>
        <v>3773452.31</v>
      </c>
      <c r="H40" s="92">
        <f t="shared" si="0"/>
        <v>19096.61</v>
      </c>
      <c r="I40" s="92">
        <f t="shared" si="2"/>
        <v>6518.4400000000005</v>
      </c>
      <c r="J40" s="92">
        <f t="shared" si="1"/>
        <v>12578.17</v>
      </c>
      <c r="K40" s="91">
        <f t="shared" si="5"/>
        <v>233066.13000000006</v>
      </c>
      <c r="L40" s="91">
        <f t="shared" si="6"/>
        <v>492605.04999999987</v>
      </c>
      <c r="M40" s="91">
        <f t="shared" si="3"/>
        <v>3766933.87</v>
      </c>
      <c r="O40" s="95"/>
    </row>
    <row r="41" spans="5:16" x14ac:dyDescent="0.25">
      <c r="E41" s="69">
        <v>39</v>
      </c>
      <c r="F41" s="70">
        <v>43626</v>
      </c>
      <c r="G41" s="91">
        <f t="shared" si="4"/>
        <v>3766933.87</v>
      </c>
      <c r="H41" s="92">
        <f t="shared" si="0"/>
        <v>19096.61</v>
      </c>
      <c r="I41" s="92">
        <f t="shared" si="2"/>
        <v>6540.16</v>
      </c>
      <c r="J41" s="92">
        <f t="shared" si="1"/>
        <v>12556.45</v>
      </c>
      <c r="K41" s="91">
        <f t="shared" si="5"/>
        <v>239606.29000000007</v>
      </c>
      <c r="L41" s="91">
        <f t="shared" si="6"/>
        <v>505161.49999999988</v>
      </c>
      <c r="M41" s="91">
        <f t="shared" si="3"/>
        <v>3760393.71</v>
      </c>
    </row>
    <row r="42" spans="5:16" x14ac:dyDescent="0.25">
      <c r="E42" s="69">
        <v>40</v>
      </c>
      <c r="F42" s="70">
        <v>43656</v>
      </c>
      <c r="G42" s="91">
        <f t="shared" si="4"/>
        <v>3760393.71</v>
      </c>
      <c r="H42" s="92">
        <f t="shared" si="0"/>
        <v>19096.61</v>
      </c>
      <c r="I42" s="92">
        <f t="shared" si="2"/>
        <v>6561.9600000000009</v>
      </c>
      <c r="J42" s="92">
        <f t="shared" si="1"/>
        <v>12534.65</v>
      </c>
      <c r="K42" s="91">
        <f t="shared" si="5"/>
        <v>246168.25000000006</v>
      </c>
      <c r="L42" s="91">
        <f t="shared" si="6"/>
        <v>517696.14999999991</v>
      </c>
      <c r="M42" s="91">
        <f t="shared" si="3"/>
        <v>3753831.75</v>
      </c>
    </row>
    <row r="43" spans="5:16" x14ac:dyDescent="0.25">
      <c r="E43" s="69">
        <v>41</v>
      </c>
      <c r="F43" s="70">
        <v>43687</v>
      </c>
      <c r="G43" s="91">
        <f t="shared" si="4"/>
        <v>3753831.75</v>
      </c>
      <c r="H43" s="92">
        <f t="shared" si="0"/>
        <v>19096.61</v>
      </c>
      <c r="I43" s="92">
        <f t="shared" si="2"/>
        <v>6583.84</v>
      </c>
      <c r="J43" s="92">
        <f t="shared" si="1"/>
        <v>12512.77</v>
      </c>
      <c r="K43" s="91">
        <f t="shared" si="5"/>
        <v>252752.09000000005</v>
      </c>
      <c r="L43" s="91">
        <f t="shared" si="6"/>
        <v>530208.91999999993</v>
      </c>
      <c r="M43" s="91">
        <f t="shared" si="3"/>
        <v>3747247.91</v>
      </c>
    </row>
    <row r="44" spans="5:16" x14ac:dyDescent="0.25">
      <c r="E44" s="69">
        <v>42</v>
      </c>
      <c r="F44" s="70">
        <v>43718</v>
      </c>
      <c r="G44" s="91">
        <f t="shared" si="4"/>
        <v>3747247.91</v>
      </c>
      <c r="H44" s="92">
        <f t="shared" si="0"/>
        <v>19096.61</v>
      </c>
      <c r="I44" s="92">
        <f t="shared" si="2"/>
        <v>6605.7800000000007</v>
      </c>
      <c r="J44" s="92">
        <f t="shared" si="1"/>
        <v>12490.83</v>
      </c>
      <c r="K44" s="91">
        <f t="shared" si="5"/>
        <v>259357.87000000005</v>
      </c>
      <c r="L44" s="91">
        <f t="shared" si="6"/>
        <v>542699.74999999988</v>
      </c>
      <c r="M44" s="91">
        <f t="shared" si="3"/>
        <v>3740642.1300000004</v>
      </c>
    </row>
    <row r="45" spans="5:16" x14ac:dyDescent="0.25">
      <c r="E45" s="69">
        <v>43</v>
      </c>
      <c r="F45" s="70">
        <v>43748</v>
      </c>
      <c r="G45" s="91">
        <f t="shared" si="4"/>
        <v>3740642.1300000004</v>
      </c>
      <c r="H45" s="92">
        <f t="shared" si="0"/>
        <v>19096.61</v>
      </c>
      <c r="I45" s="92">
        <f t="shared" si="2"/>
        <v>6627.8000000000011</v>
      </c>
      <c r="J45" s="92">
        <f t="shared" si="1"/>
        <v>12468.81</v>
      </c>
      <c r="K45" s="91">
        <f t="shared" si="5"/>
        <v>265985.67000000004</v>
      </c>
      <c r="L45" s="91">
        <f t="shared" si="6"/>
        <v>555168.55999999994</v>
      </c>
      <c r="M45" s="91">
        <f t="shared" si="3"/>
        <v>3734014.3300000005</v>
      </c>
    </row>
    <row r="46" spans="5:16" x14ac:dyDescent="0.25">
      <c r="E46" s="69">
        <v>44</v>
      </c>
      <c r="F46" s="70">
        <v>43779</v>
      </c>
      <c r="G46" s="91">
        <f t="shared" si="4"/>
        <v>3734014.3300000005</v>
      </c>
      <c r="H46" s="92">
        <f t="shared" si="0"/>
        <v>19096.61</v>
      </c>
      <c r="I46" s="92">
        <f t="shared" si="2"/>
        <v>6649.9000000000015</v>
      </c>
      <c r="J46" s="92">
        <f t="shared" si="1"/>
        <v>12446.71</v>
      </c>
      <c r="K46" s="91">
        <f t="shared" si="5"/>
        <v>272635.57000000007</v>
      </c>
      <c r="L46" s="91">
        <f t="shared" si="6"/>
        <v>567615.2699999999</v>
      </c>
      <c r="M46" s="91">
        <f t="shared" si="3"/>
        <v>3727364.4300000006</v>
      </c>
    </row>
    <row r="47" spans="5:16" x14ac:dyDescent="0.25">
      <c r="E47" s="69">
        <v>45</v>
      </c>
      <c r="F47" s="70">
        <v>43809</v>
      </c>
      <c r="G47" s="91">
        <f t="shared" si="4"/>
        <v>3727364.4300000006</v>
      </c>
      <c r="H47" s="92">
        <f t="shared" si="0"/>
        <v>19096.61</v>
      </c>
      <c r="I47" s="92">
        <f t="shared" si="2"/>
        <v>6672.0600000000013</v>
      </c>
      <c r="J47" s="92">
        <f t="shared" si="1"/>
        <v>12424.55</v>
      </c>
      <c r="K47" s="91">
        <f t="shared" si="5"/>
        <v>279307.63000000006</v>
      </c>
      <c r="L47" s="91">
        <f t="shared" si="6"/>
        <v>580039.81999999995</v>
      </c>
      <c r="M47" s="91">
        <f t="shared" si="3"/>
        <v>3720692.3700000006</v>
      </c>
    </row>
    <row r="48" spans="5:16" x14ac:dyDescent="0.25">
      <c r="E48" s="69">
        <v>46</v>
      </c>
      <c r="F48" s="70">
        <v>43840</v>
      </c>
      <c r="G48" s="91">
        <f t="shared" si="4"/>
        <v>3720692.3700000006</v>
      </c>
      <c r="H48" s="92">
        <f t="shared" si="0"/>
        <v>19096.61</v>
      </c>
      <c r="I48" s="92">
        <f t="shared" si="2"/>
        <v>6694.3000000000011</v>
      </c>
      <c r="J48" s="92">
        <f t="shared" si="1"/>
        <v>12402.31</v>
      </c>
      <c r="K48" s="91">
        <f t="shared" si="5"/>
        <v>286001.93000000005</v>
      </c>
      <c r="L48" s="91">
        <f t="shared" si="6"/>
        <v>592442.13</v>
      </c>
      <c r="M48" s="91">
        <f t="shared" si="3"/>
        <v>3713998.0700000008</v>
      </c>
    </row>
    <row r="49" spans="5:13" x14ac:dyDescent="0.25">
      <c r="E49" s="69">
        <v>47</v>
      </c>
      <c r="F49" s="70">
        <v>43871</v>
      </c>
      <c r="G49" s="91">
        <f t="shared" si="4"/>
        <v>3713998.0700000008</v>
      </c>
      <c r="H49" s="92">
        <f t="shared" si="0"/>
        <v>19096.61</v>
      </c>
      <c r="I49" s="92">
        <f t="shared" si="2"/>
        <v>6716.6200000000008</v>
      </c>
      <c r="J49" s="92">
        <f t="shared" si="1"/>
        <v>12379.99</v>
      </c>
      <c r="K49" s="91">
        <f t="shared" si="5"/>
        <v>292718.55000000005</v>
      </c>
      <c r="L49" s="91">
        <f t="shared" si="6"/>
        <v>604822.12</v>
      </c>
      <c r="M49" s="91">
        <f t="shared" si="3"/>
        <v>3707281.4500000007</v>
      </c>
    </row>
    <row r="50" spans="5:13" x14ac:dyDescent="0.25">
      <c r="E50" s="69">
        <v>48</v>
      </c>
      <c r="F50" s="70">
        <v>43900</v>
      </c>
      <c r="G50" s="91">
        <f t="shared" si="4"/>
        <v>3707281.4500000007</v>
      </c>
      <c r="H50" s="92">
        <f t="shared" si="0"/>
        <v>19096.61</v>
      </c>
      <c r="I50" s="92">
        <f t="shared" si="2"/>
        <v>6739.01</v>
      </c>
      <c r="J50" s="92">
        <f t="shared" si="1"/>
        <v>12357.6</v>
      </c>
      <c r="K50" s="91">
        <f t="shared" si="5"/>
        <v>299457.56000000006</v>
      </c>
      <c r="L50" s="91">
        <f t="shared" si="6"/>
        <v>617179.72</v>
      </c>
      <c r="M50" s="91">
        <f t="shared" si="3"/>
        <v>3700542.4400000009</v>
      </c>
    </row>
    <row r="51" spans="5:13" x14ac:dyDescent="0.25">
      <c r="E51" s="69">
        <v>49</v>
      </c>
      <c r="F51" s="70">
        <v>43931</v>
      </c>
      <c r="G51" s="91">
        <f t="shared" si="4"/>
        <v>3700542.4400000009</v>
      </c>
      <c r="H51" s="92">
        <f t="shared" si="0"/>
        <v>19096.61</v>
      </c>
      <c r="I51" s="92">
        <f t="shared" si="2"/>
        <v>6761.4700000000012</v>
      </c>
      <c r="J51" s="92">
        <f t="shared" si="1"/>
        <v>12335.14</v>
      </c>
      <c r="K51" s="91">
        <f t="shared" si="5"/>
        <v>306219.03000000003</v>
      </c>
      <c r="L51" s="91">
        <f t="shared" si="6"/>
        <v>629514.86</v>
      </c>
      <c r="M51" s="91">
        <f t="shared" si="3"/>
        <v>3693780.9700000007</v>
      </c>
    </row>
    <row r="52" spans="5:13" x14ac:dyDescent="0.25">
      <c r="E52" s="69">
        <v>50</v>
      </c>
      <c r="F52" s="70">
        <v>43961</v>
      </c>
      <c r="G52" s="91">
        <f t="shared" si="4"/>
        <v>3693780.9700000007</v>
      </c>
      <c r="H52" s="92">
        <f t="shared" si="0"/>
        <v>19096.61</v>
      </c>
      <c r="I52" s="92">
        <f t="shared" si="2"/>
        <v>6784.01</v>
      </c>
      <c r="J52" s="92">
        <f t="shared" si="1"/>
        <v>12312.6</v>
      </c>
      <c r="K52" s="91">
        <f t="shared" si="5"/>
        <v>313003.04000000004</v>
      </c>
      <c r="L52" s="91">
        <f t="shared" si="6"/>
        <v>641827.46</v>
      </c>
      <c r="M52" s="91">
        <f t="shared" si="3"/>
        <v>3686996.9600000009</v>
      </c>
    </row>
    <row r="53" spans="5:13" x14ac:dyDescent="0.25">
      <c r="E53" s="69">
        <v>51</v>
      </c>
      <c r="F53" s="70">
        <v>43992</v>
      </c>
      <c r="G53" s="91">
        <f t="shared" si="4"/>
        <v>3686996.9600000009</v>
      </c>
      <c r="H53" s="92">
        <f t="shared" si="0"/>
        <v>19096.61</v>
      </c>
      <c r="I53" s="92">
        <f t="shared" si="2"/>
        <v>6806.6200000000008</v>
      </c>
      <c r="J53" s="92">
        <f t="shared" si="1"/>
        <v>12289.99</v>
      </c>
      <c r="K53" s="91">
        <f t="shared" si="5"/>
        <v>319809.66000000003</v>
      </c>
      <c r="L53" s="91">
        <f t="shared" si="6"/>
        <v>654117.44999999995</v>
      </c>
      <c r="M53" s="91">
        <f t="shared" si="3"/>
        <v>3680190.3400000008</v>
      </c>
    </row>
    <row r="54" spans="5:13" x14ac:dyDescent="0.25">
      <c r="E54" s="69">
        <v>52</v>
      </c>
      <c r="F54" s="70">
        <v>44022</v>
      </c>
      <c r="G54" s="91">
        <f t="shared" si="4"/>
        <v>3680190.3400000008</v>
      </c>
      <c r="H54" s="92">
        <f t="shared" si="0"/>
        <v>19096.61</v>
      </c>
      <c r="I54" s="92">
        <f t="shared" si="2"/>
        <v>6829.3100000000013</v>
      </c>
      <c r="J54" s="92">
        <f t="shared" si="1"/>
        <v>12267.3</v>
      </c>
      <c r="K54" s="91">
        <f t="shared" si="5"/>
        <v>326638.97000000003</v>
      </c>
      <c r="L54" s="91">
        <f t="shared" si="6"/>
        <v>666384.75</v>
      </c>
      <c r="M54" s="91">
        <f t="shared" si="3"/>
        <v>3673361.0300000007</v>
      </c>
    </row>
    <row r="55" spans="5:13" x14ac:dyDescent="0.25">
      <c r="E55" s="69">
        <v>53</v>
      </c>
      <c r="F55" s="70">
        <v>44053</v>
      </c>
      <c r="G55" s="91">
        <f t="shared" si="4"/>
        <v>3673361.0300000007</v>
      </c>
      <c r="H55" s="92">
        <f t="shared" si="0"/>
        <v>19096.61</v>
      </c>
      <c r="I55" s="92">
        <f t="shared" si="2"/>
        <v>6852.07</v>
      </c>
      <c r="J55" s="92">
        <f t="shared" si="1"/>
        <v>12244.54</v>
      </c>
      <c r="K55" s="91">
        <f t="shared" si="5"/>
        <v>333491.04000000004</v>
      </c>
      <c r="L55" s="91">
        <f t="shared" si="6"/>
        <v>678629.29</v>
      </c>
      <c r="M55" s="91">
        <f t="shared" si="3"/>
        <v>3666508.9600000009</v>
      </c>
    </row>
    <row r="56" spans="5:13" x14ac:dyDescent="0.25">
      <c r="E56" s="69">
        <v>54</v>
      </c>
      <c r="F56" s="70">
        <v>44084</v>
      </c>
      <c r="G56" s="91">
        <f t="shared" si="4"/>
        <v>3666508.9600000009</v>
      </c>
      <c r="H56" s="92">
        <f t="shared" si="0"/>
        <v>19096.61</v>
      </c>
      <c r="I56" s="92">
        <f t="shared" si="2"/>
        <v>6874.91</v>
      </c>
      <c r="J56" s="92">
        <f t="shared" si="1"/>
        <v>12221.7</v>
      </c>
      <c r="K56" s="91">
        <f t="shared" si="5"/>
        <v>340365.95</v>
      </c>
      <c r="L56" s="91">
        <f t="shared" si="6"/>
        <v>690850.99</v>
      </c>
      <c r="M56" s="91">
        <f t="shared" si="3"/>
        <v>3659634.0500000007</v>
      </c>
    </row>
    <row r="57" spans="5:13" x14ac:dyDescent="0.25">
      <c r="E57" s="69">
        <v>55</v>
      </c>
      <c r="F57" s="70">
        <v>44114</v>
      </c>
      <c r="G57" s="91">
        <f t="shared" si="4"/>
        <v>3659634.0500000007</v>
      </c>
      <c r="H57" s="92">
        <f t="shared" si="0"/>
        <v>19096.61</v>
      </c>
      <c r="I57" s="92">
        <f t="shared" si="2"/>
        <v>6897.83</v>
      </c>
      <c r="J57" s="92">
        <f t="shared" si="1"/>
        <v>12198.78</v>
      </c>
      <c r="K57" s="91">
        <f t="shared" si="5"/>
        <v>347263.78</v>
      </c>
      <c r="L57" s="91">
        <f t="shared" si="6"/>
        <v>703049.77</v>
      </c>
      <c r="M57" s="91">
        <f t="shared" si="3"/>
        <v>3652736.2200000007</v>
      </c>
    </row>
  </sheetData>
  <pageMargins left="0.7" right="0.7" top="0.75" bottom="0.75" header="0.3" footer="0.3"/>
  <pageSetup paperSize="5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51.140625" style="34" customWidth="1"/>
    <col min="2" max="5" width="13.85546875" style="34" customWidth="1"/>
    <col min="6" max="7" width="9.140625" style="34"/>
    <col min="8" max="8" width="4.28515625" style="34" customWidth="1"/>
    <col min="9" max="9" width="9.140625" style="34" customWidth="1"/>
    <col min="10" max="10" width="20.28515625" style="34" customWidth="1"/>
    <col min="11" max="23" width="13.85546875" style="34" customWidth="1"/>
    <col min="24" max="16384" width="9.140625" style="34"/>
  </cols>
  <sheetData>
    <row r="1" spans="1:23" x14ac:dyDescent="0.25">
      <c r="A1" s="97" t="s">
        <v>353</v>
      </c>
      <c r="B1" s="97"/>
      <c r="K1" s="15" t="s">
        <v>354</v>
      </c>
    </row>
    <row r="2" spans="1:23" x14ac:dyDescent="0.25">
      <c r="A2" s="34" t="s">
        <v>355</v>
      </c>
      <c r="B2" s="98">
        <v>5666.67</v>
      </c>
      <c r="D2" s="99">
        <f>B2*12</f>
        <v>68000.040000000008</v>
      </c>
    </row>
    <row r="3" spans="1:23" x14ac:dyDescent="0.25">
      <c r="A3" s="34" t="s">
        <v>356</v>
      </c>
      <c r="B3" s="98">
        <v>5666.67</v>
      </c>
      <c r="D3" s="99">
        <f t="shared" ref="D3:D12" si="0">B3*12</f>
        <v>68000.040000000008</v>
      </c>
    </row>
    <row r="4" spans="1:23" x14ac:dyDescent="0.25">
      <c r="A4" s="34" t="s">
        <v>357</v>
      </c>
      <c r="B4" s="98">
        <v>5666.67</v>
      </c>
      <c r="D4" s="99">
        <f t="shared" si="0"/>
        <v>68000.040000000008</v>
      </c>
      <c r="K4" s="100">
        <v>42370</v>
      </c>
      <c r="L4" s="100">
        <v>42402</v>
      </c>
      <c r="M4" s="100">
        <v>42434</v>
      </c>
      <c r="N4" s="100">
        <v>42466</v>
      </c>
      <c r="O4" s="100">
        <v>42498</v>
      </c>
      <c r="P4" s="100">
        <v>42530</v>
      </c>
      <c r="Q4" s="100">
        <v>42562</v>
      </c>
      <c r="R4" s="100">
        <v>42594</v>
      </c>
      <c r="S4" s="100">
        <v>42626</v>
      </c>
      <c r="T4" s="100">
        <v>42658</v>
      </c>
      <c r="U4" s="100">
        <v>42690</v>
      </c>
      <c r="V4" s="100">
        <v>42722</v>
      </c>
      <c r="W4" s="101" t="s">
        <v>358</v>
      </c>
    </row>
    <row r="5" spans="1:23" x14ac:dyDescent="0.25">
      <c r="A5" s="34" t="s">
        <v>359</v>
      </c>
      <c r="B5" s="98">
        <v>5666.67</v>
      </c>
      <c r="D5" s="99">
        <f t="shared" si="0"/>
        <v>68000.040000000008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x14ac:dyDescent="0.25">
      <c r="A6" s="34" t="s">
        <v>360</v>
      </c>
      <c r="B6" s="98">
        <v>5666.67</v>
      </c>
      <c r="D6" s="99">
        <f t="shared" si="0"/>
        <v>68000.040000000008</v>
      </c>
    </row>
    <row r="7" spans="1:23" x14ac:dyDescent="0.25">
      <c r="B7" s="98"/>
      <c r="D7" s="99"/>
      <c r="J7" s="34" t="s">
        <v>361</v>
      </c>
      <c r="K7" s="102">
        <v>9137</v>
      </c>
      <c r="L7" s="102"/>
      <c r="M7" s="102"/>
      <c r="N7" s="102">
        <v>9137</v>
      </c>
      <c r="O7" s="102"/>
      <c r="P7" s="102"/>
      <c r="Q7" s="102">
        <v>9137</v>
      </c>
      <c r="R7" s="102"/>
      <c r="S7" s="102"/>
      <c r="T7" s="102"/>
      <c r="U7" s="102"/>
      <c r="V7" s="102"/>
      <c r="W7" s="102">
        <f>SUM(K7:V7)</f>
        <v>27411</v>
      </c>
    </row>
    <row r="8" spans="1:23" x14ac:dyDescent="0.25">
      <c r="A8" s="34" t="s">
        <v>362</v>
      </c>
      <c r="B8" s="98">
        <v>6516.67</v>
      </c>
      <c r="D8" s="99">
        <f t="shared" si="0"/>
        <v>78200.040000000008</v>
      </c>
      <c r="J8" s="34" t="s">
        <v>363</v>
      </c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>
        <f t="shared" ref="W8:W12" si="1">SUM(K8:V8)</f>
        <v>0</v>
      </c>
    </row>
    <row r="9" spans="1:23" x14ac:dyDescent="0.25">
      <c r="A9" s="34" t="s">
        <v>364</v>
      </c>
      <c r="B9" s="98">
        <v>6516.67</v>
      </c>
      <c r="D9" s="99">
        <f t="shared" si="0"/>
        <v>78200.040000000008</v>
      </c>
      <c r="J9" s="34" t="s">
        <v>365</v>
      </c>
      <c r="K9" s="102">
        <v>0</v>
      </c>
      <c r="L9" s="102"/>
      <c r="M9" s="102"/>
      <c r="N9" s="102">
        <v>6282</v>
      </c>
      <c r="O9" s="102"/>
      <c r="P9" s="102"/>
      <c r="Q9" s="102">
        <v>6282</v>
      </c>
      <c r="R9" s="102"/>
      <c r="S9" s="102"/>
      <c r="T9" s="102"/>
      <c r="U9" s="102"/>
      <c r="V9" s="102"/>
      <c r="W9" s="102">
        <f t="shared" si="1"/>
        <v>12564</v>
      </c>
    </row>
    <row r="10" spans="1:23" x14ac:dyDescent="0.25">
      <c r="A10" s="34" t="s">
        <v>366</v>
      </c>
      <c r="B10" s="98">
        <v>6516.67</v>
      </c>
      <c r="D10" s="99">
        <f t="shared" si="0"/>
        <v>78200.040000000008</v>
      </c>
      <c r="J10" s="34" t="s">
        <v>367</v>
      </c>
      <c r="K10" s="102"/>
      <c r="L10" s="102"/>
      <c r="M10" s="102"/>
      <c r="N10" s="102"/>
      <c r="O10" s="102">
        <f>D53</f>
        <v>4204.8355000000001</v>
      </c>
      <c r="P10" s="102"/>
      <c r="Q10" s="102"/>
      <c r="R10" s="102"/>
      <c r="S10" s="102"/>
      <c r="T10" s="102">
        <v>0</v>
      </c>
      <c r="U10" s="102">
        <f>D54</f>
        <v>4204.8355000000001</v>
      </c>
      <c r="V10" s="102"/>
      <c r="W10" s="102">
        <f t="shared" si="1"/>
        <v>8409.6710000000003</v>
      </c>
    </row>
    <row r="11" spans="1:23" x14ac:dyDescent="0.25">
      <c r="A11" s="34" t="s">
        <v>368</v>
      </c>
      <c r="B11" s="98">
        <v>6516.67</v>
      </c>
      <c r="D11" s="99">
        <f t="shared" si="0"/>
        <v>78200.040000000008</v>
      </c>
      <c r="J11" s="34" t="s">
        <v>369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f>D70</f>
        <v>1773.9150025162505</v>
      </c>
      <c r="Q11" s="102">
        <v>0</v>
      </c>
      <c r="R11" s="102">
        <v>0</v>
      </c>
      <c r="S11" s="102"/>
      <c r="T11" s="102">
        <f>D71</f>
        <v>1773.9150025162505</v>
      </c>
      <c r="U11" s="102"/>
      <c r="V11" s="102">
        <f>D72</f>
        <v>1773.9150025162505</v>
      </c>
      <c r="W11" s="102">
        <f t="shared" si="1"/>
        <v>5321.7450075487513</v>
      </c>
    </row>
    <row r="12" spans="1:23" ht="17.25" x14ac:dyDescent="0.4">
      <c r="A12" s="34" t="s">
        <v>370</v>
      </c>
      <c r="B12" s="98">
        <v>6516.67</v>
      </c>
      <c r="D12" s="103">
        <f t="shared" si="0"/>
        <v>78200.040000000008</v>
      </c>
      <c r="J12" s="34" t="s">
        <v>371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  <c r="P12" s="102">
        <v>0</v>
      </c>
      <c r="Q12" s="102">
        <v>0</v>
      </c>
      <c r="R12" s="102">
        <v>0</v>
      </c>
      <c r="S12" s="102">
        <v>0</v>
      </c>
      <c r="T12" s="102">
        <v>0</v>
      </c>
      <c r="U12" s="102">
        <v>0</v>
      </c>
      <c r="V12" s="102">
        <f>D73</f>
        <v>1773.9150025162505</v>
      </c>
      <c r="W12" s="102">
        <f t="shared" si="1"/>
        <v>1773.9150025162505</v>
      </c>
    </row>
    <row r="13" spans="1:23" x14ac:dyDescent="0.25">
      <c r="B13" s="98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</row>
    <row r="14" spans="1:23" x14ac:dyDescent="0.25">
      <c r="A14" s="34" t="s">
        <v>372</v>
      </c>
      <c r="B14" s="98"/>
      <c r="D14" s="99">
        <f>SUM(D2:D12)</f>
        <v>731000.40000000026</v>
      </c>
      <c r="J14" s="34" t="s">
        <v>373</v>
      </c>
      <c r="K14" s="102">
        <f t="shared" ref="K14:W14" si="2">SUM(K7:K12)</f>
        <v>9137</v>
      </c>
      <c r="L14" s="102">
        <f t="shared" si="2"/>
        <v>0</v>
      </c>
      <c r="M14" s="102">
        <f t="shared" si="2"/>
        <v>0</v>
      </c>
      <c r="N14" s="102">
        <f t="shared" si="2"/>
        <v>15419</v>
      </c>
      <c r="O14" s="102">
        <f t="shared" si="2"/>
        <v>4204.8355000000001</v>
      </c>
      <c r="P14" s="102">
        <f t="shared" si="2"/>
        <v>1773.9150025162505</v>
      </c>
      <c r="Q14" s="102">
        <f t="shared" si="2"/>
        <v>15419</v>
      </c>
      <c r="R14" s="102">
        <f t="shared" si="2"/>
        <v>0</v>
      </c>
      <c r="S14" s="102">
        <f t="shared" si="2"/>
        <v>0</v>
      </c>
      <c r="T14" s="102">
        <f t="shared" si="2"/>
        <v>1773.9150025162505</v>
      </c>
      <c r="U14" s="102">
        <f t="shared" si="2"/>
        <v>4204.8355000000001</v>
      </c>
      <c r="V14" s="102">
        <f t="shared" si="2"/>
        <v>3547.830005032501</v>
      </c>
      <c r="W14" s="102">
        <f t="shared" si="2"/>
        <v>55480.331010065005</v>
      </c>
    </row>
    <row r="15" spans="1:23" x14ac:dyDescent="0.25">
      <c r="A15" s="34" t="s">
        <v>374</v>
      </c>
      <c r="B15" s="98"/>
      <c r="D15" s="99">
        <f>D14*0.05</f>
        <v>36550.020000000011</v>
      </c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</row>
    <row r="16" spans="1:23" x14ac:dyDescent="0.25">
      <c r="A16" s="34" t="s">
        <v>375</v>
      </c>
      <c r="B16" s="98"/>
      <c r="D16" s="99">
        <f>D15*0.25</f>
        <v>9137.5050000000028</v>
      </c>
      <c r="E16" s="104">
        <v>42303</v>
      </c>
    </row>
    <row r="17" spans="1:5" x14ac:dyDescent="0.25">
      <c r="A17" s="105" t="s">
        <v>376</v>
      </c>
      <c r="B17" s="98"/>
      <c r="D17" s="99">
        <f>D15*0.25</f>
        <v>9137.5050000000028</v>
      </c>
      <c r="E17" s="104">
        <v>42395</v>
      </c>
    </row>
    <row r="18" spans="1:5" x14ac:dyDescent="0.25">
      <c r="A18" s="34" t="s">
        <v>377</v>
      </c>
      <c r="B18" s="98"/>
      <c r="D18" s="99">
        <f>D15*0.25</f>
        <v>9137.5050000000028</v>
      </c>
      <c r="E18" s="104">
        <v>42486</v>
      </c>
    </row>
    <row r="19" spans="1:5" x14ac:dyDescent="0.25">
      <c r="A19" s="34" t="s">
        <v>378</v>
      </c>
      <c r="B19" s="98"/>
      <c r="D19" s="99">
        <f>D15*0.25</f>
        <v>9137.5050000000028</v>
      </c>
      <c r="E19" s="104">
        <v>42577</v>
      </c>
    </row>
    <row r="20" spans="1:5" x14ac:dyDescent="0.25">
      <c r="B20" s="98"/>
      <c r="D20" s="99"/>
    </row>
    <row r="21" spans="1:5" x14ac:dyDescent="0.25">
      <c r="B21" s="98"/>
      <c r="D21" s="99"/>
    </row>
    <row r="22" spans="1:5" x14ac:dyDescent="0.25">
      <c r="A22" s="106" t="s">
        <v>379</v>
      </c>
      <c r="B22" s="106"/>
      <c r="D22" s="99"/>
    </row>
    <row r="23" spans="1:5" x14ac:dyDescent="0.25">
      <c r="A23" s="106"/>
      <c r="B23" s="106"/>
      <c r="D23" s="99"/>
    </row>
    <row r="24" spans="1:5" x14ac:dyDescent="0.25">
      <c r="A24" s="34" t="s">
        <v>380</v>
      </c>
      <c r="B24" s="98">
        <f>47300*5</f>
        <v>236500</v>
      </c>
      <c r="D24" s="99"/>
    </row>
    <row r="25" spans="1:5" x14ac:dyDescent="0.25">
      <c r="A25" s="34" t="s">
        <v>381</v>
      </c>
      <c r="B25" s="98">
        <f>53212.5*5</f>
        <v>266062.5</v>
      </c>
      <c r="D25" s="99"/>
    </row>
    <row r="26" spans="1:5" ht="15.75" thickBot="1" x14ac:dyDescent="0.3">
      <c r="B26" s="107">
        <f>SUM(B24:B25)</f>
        <v>502562.5</v>
      </c>
      <c r="D26" s="99"/>
    </row>
    <row r="27" spans="1:5" ht="15.75" thickTop="1" x14ac:dyDescent="0.25">
      <c r="B27" s="98"/>
    </row>
    <row r="28" spans="1:5" x14ac:dyDescent="0.25">
      <c r="A28" s="34" t="s">
        <v>382</v>
      </c>
      <c r="B28" s="98">
        <f>B26*5%</f>
        <v>25128.125</v>
      </c>
    </row>
    <row r="29" spans="1:5" x14ac:dyDescent="0.25">
      <c r="B29" s="98"/>
    </row>
    <row r="30" spans="1:5" x14ac:dyDescent="0.25">
      <c r="A30" s="34" t="s">
        <v>383</v>
      </c>
      <c r="B30" s="98">
        <v>12564.06</v>
      </c>
      <c r="E30" s="104">
        <v>42280</v>
      </c>
    </row>
    <row r="31" spans="1:5" x14ac:dyDescent="0.25">
      <c r="A31" s="34" t="s">
        <v>384</v>
      </c>
      <c r="B31" s="98">
        <v>6282.03</v>
      </c>
      <c r="E31" s="104">
        <v>42463</v>
      </c>
    </row>
    <row r="32" spans="1:5" x14ac:dyDescent="0.25">
      <c r="A32" s="34" t="s">
        <v>385</v>
      </c>
      <c r="B32" s="98">
        <v>6282.03</v>
      </c>
      <c r="E32" s="104">
        <v>42554</v>
      </c>
    </row>
    <row r="33" spans="1:8" s="15" customFormat="1" ht="15.75" thickBot="1" x14ac:dyDescent="0.3">
      <c r="A33" s="34"/>
      <c r="B33" s="107">
        <f>SUM(B30:B32)</f>
        <v>25128.12</v>
      </c>
    </row>
    <row r="34" spans="1:8" ht="15.75" thickTop="1" x14ac:dyDescent="0.25"/>
    <row r="35" spans="1:8" x14ac:dyDescent="0.25">
      <c r="A35" s="15" t="s">
        <v>386</v>
      </c>
      <c r="B35" s="15"/>
      <c r="C35" s="15"/>
      <c r="D35" s="15"/>
      <c r="E35" s="15"/>
      <c r="F35" s="15"/>
      <c r="G35" s="15"/>
      <c r="H35" s="15"/>
    </row>
    <row r="36" spans="1:8" s="15" customFormat="1" x14ac:dyDescent="0.25">
      <c r="A36" s="34"/>
      <c r="B36" s="34"/>
      <c r="C36" s="34"/>
      <c r="D36" s="34"/>
      <c r="E36" s="34"/>
      <c r="F36" s="34"/>
      <c r="G36" s="34"/>
      <c r="H36" s="34"/>
    </row>
    <row r="37" spans="1:8" x14ac:dyDescent="0.25">
      <c r="A37" s="34" t="s">
        <v>387</v>
      </c>
      <c r="D37" s="99">
        <v>6282.03</v>
      </c>
      <c r="E37" s="104">
        <v>42280</v>
      </c>
    </row>
    <row r="38" spans="1:8" x14ac:dyDescent="0.25">
      <c r="A38" s="34" t="s">
        <v>388</v>
      </c>
      <c r="D38" s="99">
        <v>6282.03</v>
      </c>
      <c r="E38" s="104">
        <v>42372</v>
      </c>
    </row>
    <row r="39" spans="1:8" x14ac:dyDescent="0.25">
      <c r="A39" s="34" t="s">
        <v>389</v>
      </c>
      <c r="D39" s="99">
        <v>6282.03</v>
      </c>
      <c r="E39" s="104">
        <v>42463</v>
      </c>
    </row>
    <row r="40" spans="1:8" x14ac:dyDescent="0.25">
      <c r="A40" s="34" t="s">
        <v>390</v>
      </c>
      <c r="D40" s="99">
        <v>6282.03</v>
      </c>
      <c r="E40" s="104">
        <v>42554</v>
      </c>
    </row>
    <row r="41" spans="1:8" x14ac:dyDescent="0.25">
      <c r="D41" s="99"/>
      <c r="E41" s="108"/>
    </row>
    <row r="42" spans="1:8" x14ac:dyDescent="0.25">
      <c r="A42" s="15" t="s">
        <v>391</v>
      </c>
      <c r="B42" s="15" t="s">
        <v>392</v>
      </c>
      <c r="C42" s="15"/>
      <c r="D42" s="109"/>
      <c r="E42" s="110"/>
      <c r="F42" s="15"/>
      <c r="G42" s="15"/>
      <c r="H42" s="15"/>
    </row>
    <row r="43" spans="1:8" x14ac:dyDescent="0.25">
      <c r="D43" s="99"/>
      <c r="E43" s="108"/>
    </row>
    <row r="44" spans="1:8" x14ac:dyDescent="0.25">
      <c r="A44" s="34" t="s">
        <v>393</v>
      </c>
      <c r="B44" s="98">
        <v>31680</v>
      </c>
    </row>
    <row r="45" spans="1:8" x14ac:dyDescent="0.25">
      <c r="A45" s="34" t="s">
        <v>394</v>
      </c>
      <c r="B45" s="98">
        <v>32630.400000000001</v>
      </c>
    </row>
    <row r="46" spans="1:8" x14ac:dyDescent="0.25">
      <c r="A46" s="34" t="s">
        <v>395</v>
      </c>
      <c r="B46" s="98">
        <v>33609.31</v>
      </c>
    </row>
    <row r="47" spans="1:8" x14ac:dyDescent="0.25">
      <c r="A47" s="34" t="s">
        <v>396</v>
      </c>
      <c r="B47" s="98">
        <v>34617.589999999997</v>
      </c>
    </row>
    <row r="48" spans="1:8" ht="17.25" x14ac:dyDescent="0.4">
      <c r="A48" s="34" t="s">
        <v>397</v>
      </c>
      <c r="B48" s="111">
        <v>35656.120000000003</v>
      </c>
      <c r="D48" s="99"/>
      <c r="E48" s="104"/>
    </row>
    <row r="49" spans="1:14" x14ac:dyDescent="0.25">
      <c r="A49" s="34" t="s">
        <v>205</v>
      </c>
      <c r="B49" s="98">
        <f>SUM(B44:B48)</f>
        <v>168193.41999999998</v>
      </c>
      <c r="D49" s="99"/>
      <c r="E49" s="104"/>
    </row>
    <row r="51" spans="1:14" x14ac:dyDescent="0.25">
      <c r="A51" s="34" t="s">
        <v>398</v>
      </c>
      <c r="B51" s="99">
        <f>B49*0.05</f>
        <v>8409.6710000000003</v>
      </c>
    </row>
    <row r="53" spans="1:14" x14ac:dyDescent="0.25">
      <c r="A53" s="34" t="s">
        <v>399</v>
      </c>
      <c r="D53" s="99">
        <f>B$51/2</f>
        <v>4204.8355000000001</v>
      </c>
      <c r="E53" s="104">
        <v>42507</v>
      </c>
      <c r="F53" s="34" t="s">
        <v>400</v>
      </c>
      <c r="M53" s="108"/>
      <c r="N53" s="108"/>
    </row>
    <row r="54" spans="1:14" x14ac:dyDescent="0.25">
      <c r="A54" s="34" t="s">
        <v>401</v>
      </c>
      <c r="D54" s="99">
        <f>B$51/2</f>
        <v>4204.8355000000001</v>
      </c>
      <c r="E54" s="104">
        <v>42690</v>
      </c>
      <c r="F54" s="34" t="s">
        <v>400</v>
      </c>
      <c r="M54" s="112"/>
    </row>
    <row r="55" spans="1:14" x14ac:dyDescent="0.25">
      <c r="M55" s="112"/>
    </row>
    <row r="56" spans="1:14" x14ac:dyDescent="0.25">
      <c r="A56" s="15" t="s">
        <v>402</v>
      </c>
      <c r="M56" s="112"/>
    </row>
    <row r="57" spans="1:14" x14ac:dyDescent="0.25">
      <c r="M57" s="112"/>
    </row>
    <row r="58" spans="1:14" x14ac:dyDescent="0.25">
      <c r="A58" s="34" t="s">
        <v>403</v>
      </c>
      <c r="B58" s="34">
        <v>1215</v>
      </c>
      <c r="M58" s="112"/>
    </row>
    <row r="59" spans="1:14" x14ac:dyDescent="0.25">
      <c r="A59" s="34" t="s">
        <v>404</v>
      </c>
      <c r="B59" s="98">
        <v>22</v>
      </c>
      <c r="M59" s="112"/>
      <c r="N59" s="112"/>
    </row>
    <row r="61" spans="1:14" x14ac:dyDescent="0.25">
      <c r="A61" s="34" t="s">
        <v>393</v>
      </c>
      <c r="B61" s="98">
        <f>B58*B59</f>
        <v>26730</v>
      </c>
    </row>
    <row r="62" spans="1:14" x14ac:dyDescent="0.25">
      <c r="A62" s="34" t="s">
        <v>394</v>
      </c>
      <c r="B62" s="98">
        <f>B61*1.03</f>
        <v>27531.9</v>
      </c>
    </row>
    <row r="63" spans="1:14" x14ac:dyDescent="0.25">
      <c r="A63" s="34" t="s">
        <v>395</v>
      </c>
      <c r="B63" s="98">
        <f t="shared" ref="B63:B65" si="3">B62*1.03</f>
        <v>28357.857000000004</v>
      </c>
    </row>
    <row r="64" spans="1:14" x14ac:dyDescent="0.25">
      <c r="A64" s="34" t="s">
        <v>396</v>
      </c>
      <c r="B64" s="98">
        <f t="shared" si="3"/>
        <v>29208.592710000004</v>
      </c>
    </row>
    <row r="65" spans="1:11" ht="17.25" x14ac:dyDescent="0.4">
      <c r="A65" s="34" t="s">
        <v>397</v>
      </c>
      <c r="B65" s="111">
        <f t="shared" si="3"/>
        <v>30084.850491300007</v>
      </c>
      <c r="D65" s="99"/>
      <c r="E65" s="104"/>
    </row>
    <row r="66" spans="1:11" x14ac:dyDescent="0.25">
      <c r="A66" s="34" t="s">
        <v>205</v>
      </c>
      <c r="B66" s="98">
        <f>SUM(B61:B65)</f>
        <v>141913.20020130003</v>
      </c>
      <c r="D66" s="99"/>
      <c r="E66" s="104"/>
    </row>
    <row r="68" spans="1:11" x14ac:dyDescent="0.25">
      <c r="A68" s="34" t="s">
        <v>398</v>
      </c>
      <c r="B68" s="99">
        <f>B66*0.05</f>
        <v>7095.6600100650021</v>
      </c>
    </row>
    <row r="70" spans="1:11" x14ac:dyDescent="0.25">
      <c r="A70" s="34" t="s">
        <v>405</v>
      </c>
      <c r="D70" s="99">
        <f>B$68/4</f>
        <v>1773.9150025162505</v>
      </c>
      <c r="E70" s="104">
        <v>42673</v>
      </c>
      <c r="F70" s="34" t="s">
        <v>400</v>
      </c>
      <c r="J70" s="108"/>
      <c r="K70" s="108"/>
    </row>
    <row r="71" spans="1:11" x14ac:dyDescent="0.25">
      <c r="A71" s="34" t="s">
        <v>406</v>
      </c>
      <c r="D71" s="99">
        <f t="shared" ref="D71:D73" si="4">B$68/4</f>
        <v>1773.9150025162505</v>
      </c>
      <c r="E71" s="104">
        <f>E70+45</f>
        <v>42718</v>
      </c>
      <c r="F71" s="34" t="s">
        <v>400</v>
      </c>
      <c r="K71" s="108"/>
    </row>
    <row r="72" spans="1:11" x14ac:dyDescent="0.25">
      <c r="A72" s="34" t="s">
        <v>407</v>
      </c>
      <c r="D72" s="99">
        <f t="shared" si="4"/>
        <v>1773.9150025162505</v>
      </c>
      <c r="E72" s="104">
        <f>E71+45</f>
        <v>42763</v>
      </c>
      <c r="F72" s="34" t="s">
        <v>400</v>
      </c>
      <c r="K72" s="108"/>
    </row>
    <row r="73" spans="1:11" x14ac:dyDescent="0.25">
      <c r="A73" s="34" t="s">
        <v>408</v>
      </c>
      <c r="D73" s="99">
        <f t="shared" si="4"/>
        <v>1773.9150025162505</v>
      </c>
      <c r="E73" s="104">
        <f>E72+45</f>
        <v>42808</v>
      </c>
      <c r="F73" s="34" t="s">
        <v>400</v>
      </c>
      <c r="K73" s="108"/>
    </row>
    <row r="75" spans="1:11" x14ac:dyDescent="0.25">
      <c r="A75" s="15" t="s">
        <v>409</v>
      </c>
      <c r="B75" s="15" t="s">
        <v>410</v>
      </c>
      <c r="C75" s="15"/>
      <c r="D75" s="109"/>
      <c r="E75" s="110"/>
      <c r="F75" s="15"/>
      <c r="G75" s="15"/>
      <c r="H75" s="15"/>
    </row>
    <row r="76" spans="1:11" x14ac:dyDescent="0.25">
      <c r="D76" s="99"/>
      <c r="E76" s="108"/>
    </row>
    <row r="77" spans="1:11" x14ac:dyDescent="0.25">
      <c r="A77" s="34" t="s">
        <v>403</v>
      </c>
      <c r="B77" s="34">
        <v>1215</v>
      </c>
    </row>
    <row r="78" spans="1:11" x14ac:dyDescent="0.25">
      <c r="A78" s="34" t="s">
        <v>404</v>
      </c>
      <c r="B78" s="98">
        <v>22</v>
      </c>
    </row>
    <row r="80" spans="1:11" x14ac:dyDescent="0.25">
      <c r="A80" s="34" t="s">
        <v>393</v>
      </c>
      <c r="B80" s="98">
        <f>B77*B78</f>
        <v>26730</v>
      </c>
      <c r="C80" s="99"/>
    </row>
    <row r="81" spans="1:11" x14ac:dyDescent="0.25">
      <c r="A81" s="34" t="s">
        <v>394</v>
      </c>
      <c r="B81" s="98">
        <f>B80*1.03</f>
        <v>27531.9</v>
      </c>
    </row>
    <row r="82" spans="1:11" x14ac:dyDescent="0.25">
      <c r="A82" s="34" t="s">
        <v>395</v>
      </c>
      <c r="B82" s="98">
        <f t="shared" ref="B82:B84" si="5">B81*1.03</f>
        <v>28357.857000000004</v>
      </c>
    </row>
    <row r="83" spans="1:11" x14ac:dyDescent="0.25">
      <c r="A83" s="34" t="s">
        <v>396</v>
      </c>
      <c r="B83" s="98">
        <f t="shared" si="5"/>
        <v>29208.592710000004</v>
      </c>
    </row>
    <row r="84" spans="1:11" ht="17.25" x14ac:dyDescent="0.4">
      <c r="A84" s="34" t="s">
        <v>397</v>
      </c>
      <c r="B84" s="111">
        <f t="shared" si="5"/>
        <v>30084.850491300007</v>
      </c>
      <c r="D84" s="99"/>
      <c r="E84" s="104"/>
    </row>
    <row r="85" spans="1:11" x14ac:dyDescent="0.25">
      <c r="A85" s="34" t="s">
        <v>205</v>
      </c>
      <c r="B85" s="98">
        <f>SUM(B80:B84)</f>
        <v>141913.20020130003</v>
      </c>
      <c r="D85" s="99"/>
      <c r="E85" s="104"/>
    </row>
    <row r="87" spans="1:11" x14ac:dyDescent="0.25">
      <c r="A87" s="34" t="s">
        <v>398</v>
      </c>
      <c r="B87" s="99">
        <f>B85*0.05</f>
        <v>7095.6600100650021</v>
      </c>
    </row>
    <row r="89" spans="1:11" x14ac:dyDescent="0.25">
      <c r="A89" s="34" t="s">
        <v>405</v>
      </c>
      <c r="D89" s="99">
        <f>B$87/4</f>
        <v>1773.9150025162505</v>
      </c>
      <c r="E89" s="104">
        <v>42720</v>
      </c>
      <c r="F89" s="34" t="s">
        <v>400</v>
      </c>
      <c r="K89" s="112"/>
    </row>
    <row r="90" spans="1:11" x14ac:dyDescent="0.25">
      <c r="A90" s="34" t="s">
        <v>406</v>
      </c>
      <c r="D90" s="99">
        <f t="shared" ref="D90:D92" si="6">B$87/4</f>
        <v>1773.9150025162505</v>
      </c>
      <c r="E90" s="104">
        <f>E89+45</f>
        <v>42765</v>
      </c>
      <c r="F90" s="34" t="s">
        <v>400</v>
      </c>
      <c r="K90" s="112"/>
    </row>
    <row r="91" spans="1:11" x14ac:dyDescent="0.25">
      <c r="A91" s="34" t="s">
        <v>407</v>
      </c>
      <c r="D91" s="99">
        <f t="shared" si="6"/>
        <v>1773.9150025162505</v>
      </c>
      <c r="E91" s="104">
        <f>E90+45</f>
        <v>42810</v>
      </c>
      <c r="F91" s="34" t="s">
        <v>400</v>
      </c>
    </row>
    <row r="92" spans="1:11" x14ac:dyDescent="0.25">
      <c r="A92" s="34" t="s">
        <v>408</v>
      </c>
      <c r="D92" s="99">
        <f t="shared" si="6"/>
        <v>1773.9150025162505</v>
      </c>
      <c r="E92" s="104">
        <f>E91+45</f>
        <v>42855</v>
      </c>
      <c r="F92" s="34" t="s">
        <v>400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cf</vt:lpstr>
      <vt:lpstr>Op Budget 2016</vt:lpstr>
      <vt:lpstr>Template</vt:lpstr>
      <vt:lpstr>Min Rent 2016</vt:lpstr>
      <vt:lpstr>CAM 2016</vt:lpstr>
      <vt:lpstr>RETaxes 2016</vt:lpstr>
      <vt:lpstr>Ins 2016</vt:lpstr>
      <vt:lpstr>Assumptions</vt:lpstr>
      <vt:lpstr>Broker's Comm</vt:lpstr>
      <vt:lpstr>Template!Print_Area</vt:lpstr>
      <vt:lpstr>cf!Print_Titles</vt:lpstr>
      <vt:lpstr>Template!Print_Titles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2016-04-04T19:53:40Z</cp:lastPrinted>
  <dcterms:created xsi:type="dcterms:W3CDTF">2016-04-01T21:07:40Z</dcterms:created>
  <dcterms:modified xsi:type="dcterms:W3CDTF">2016-04-05T21:13:15Z</dcterms:modified>
</cp:coreProperties>
</file>