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hared\PROPERTIES\Simon\Budgets\"/>
    </mc:Choice>
  </mc:AlternateContent>
  <bookViews>
    <workbookView xWindow="0" yWindow="0" windowWidth="14370" windowHeight="12360" tabRatio="659" firstSheet="2" activeTab="2"/>
  </bookViews>
  <sheets>
    <sheet name="cf" sheetId="4" state="hidden" r:id="rId1"/>
    <sheet name="Op Budget 2016" sheetId="6" state="hidden" r:id="rId2"/>
    <sheet name="2017 Projected" sheetId="5" r:id="rId3"/>
    <sheet name="Min Rent 2017" sheetId="9" r:id="rId4"/>
    <sheet name="CAM est 2017" sheetId="10" r:id="rId5"/>
    <sheet name="RETaxes 2017" sheetId="11" r:id="rId6"/>
    <sheet name="Ins 2016" sheetId="12" r:id="rId7"/>
    <sheet name="CapEx 2016" sheetId="14" r:id="rId8"/>
    <sheet name="Distributions" sheetId="15" r:id="rId9"/>
    <sheet name="Loan" sheetId="16" r:id="rId10"/>
    <sheet name="Broker's Comm" sheetId="8" r:id="rId11"/>
  </sheets>
  <externalReferences>
    <externalReference r:id="rId12"/>
  </externalReferences>
  <definedNames>
    <definedName name="_xlnm.Print_Area" localSheetId="2">'2017 Projected'!$A$1:$S$209</definedName>
    <definedName name="_xlnm.Print_Area" localSheetId="8">Distributions!$A$1:$F$21</definedName>
    <definedName name="_xlnm.Print_Titles" localSheetId="2">'2017 Projected'!$1:$5</definedName>
    <definedName name="_xlnm.Print_Titles" localSheetId="0">cf!$1:$5</definedName>
  </definedNames>
  <calcPr calcId="152511"/>
</workbook>
</file>

<file path=xl/calcChain.xml><?xml version="1.0" encoding="utf-8"?>
<calcChain xmlns="http://schemas.openxmlformats.org/spreadsheetml/2006/main">
  <c r="P128" i="5" l="1"/>
  <c r="E124" i="5" l="1"/>
  <c r="F124" i="5"/>
  <c r="G124" i="5"/>
  <c r="H124" i="5"/>
  <c r="I124" i="5"/>
  <c r="J124" i="5"/>
  <c r="K124" i="5"/>
  <c r="L124" i="5"/>
  <c r="M124" i="5"/>
  <c r="N124" i="5"/>
  <c r="O124" i="5"/>
  <c r="D124" i="5"/>
  <c r="P31" i="16"/>
  <c r="P32" i="16"/>
  <c r="P33" i="16"/>
  <c r="P34" i="16"/>
  <c r="P35" i="16"/>
  <c r="P36" i="16"/>
  <c r="P37" i="16"/>
  <c r="P38" i="16"/>
  <c r="P39" i="16"/>
  <c r="P40" i="16"/>
  <c r="P41" i="16"/>
  <c r="P30" i="16"/>
  <c r="B19" i="16"/>
  <c r="B12" i="16"/>
  <c r="H37" i="16" s="1"/>
  <c r="J3" i="16"/>
  <c r="L3" i="16" s="1"/>
  <c r="G3" i="16"/>
  <c r="H12" i="16" l="1"/>
  <c r="H14" i="16"/>
  <c r="H16" i="16"/>
  <c r="H18" i="16"/>
  <c r="H4" i="16"/>
  <c r="H6" i="16"/>
  <c r="H8" i="16"/>
  <c r="H10" i="16"/>
  <c r="H13" i="16"/>
  <c r="H15" i="16"/>
  <c r="H17" i="16"/>
  <c r="H20" i="16"/>
  <c r="H22" i="16"/>
  <c r="H24" i="16"/>
  <c r="H26" i="16"/>
  <c r="H28" i="16"/>
  <c r="H30" i="16"/>
  <c r="H32" i="16"/>
  <c r="H34" i="16"/>
  <c r="H36" i="16"/>
  <c r="H38" i="16"/>
  <c r="H3" i="16"/>
  <c r="I3" i="16" s="1"/>
  <c r="K3" i="16" s="1"/>
  <c r="H5" i="16"/>
  <c r="H7" i="16"/>
  <c r="H9" i="16"/>
  <c r="H11" i="16"/>
  <c r="H74" i="16"/>
  <c r="H72" i="16"/>
  <c r="H70" i="16"/>
  <c r="H68" i="16"/>
  <c r="H66" i="16"/>
  <c r="H64" i="16"/>
  <c r="H62" i="16"/>
  <c r="H60" i="16"/>
  <c r="H58" i="16"/>
  <c r="H56" i="16"/>
  <c r="H54" i="16"/>
  <c r="H52" i="16"/>
  <c r="H73" i="16"/>
  <c r="H69" i="16"/>
  <c r="H65" i="16"/>
  <c r="H61" i="16"/>
  <c r="H57" i="16"/>
  <c r="H53" i="16"/>
  <c r="H50" i="16"/>
  <c r="H48" i="16"/>
  <c r="H46" i="16"/>
  <c r="H44" i="16"/>
  <c r="H42" i="16"/>
  <c r="H40" i="16"/>
  <c r="H71" i="16"/>
  <c r="H67" i="16"/>
  <c r="H63" i="16"/>
  <c r="H59" i="16"/>
  <c r="H55" i="16"/>
  <c r="H51" i="16"/>
  <c r="H49" i="16"/>
  <c r="H47" i="16"/>
  <c r="H45" i="16"/>
  <c r="H43" i="16"/>
  <c r="H41" i="16"/>
  <c r="H39" i="16"/>
  <c r="H19" i="16"/>
  <c r="H21" i="16"/>
  <c r="H23" i="16"/>
  <c r="H25" i="16"/>
  <c r="H27" i="16"/>
  <c r="H29" i="16"/>
  <c r="H31" i="16"/>
  <c r="H33" i="16"/>
  <c r="H35" i="16"/>
  <c r="R176" i="5"/>
  <c r="R177" i="5"/>
  <c r="R178" i="5"/>
  <c r="R179" i="5"/>
  <c r="R180" i="5"/>
  <c r="R181" i="5"/>
  <c r="R182" i="5"/>
  <c r="Q174" i="5"/>
  <c r="R174" i="5" s="1"/>
  <c r="Q175" i="5"/>
  <c r="R175" i="5" s="1"/>
  <c r="Q176" i="5"/>
  <c r="Q177" i="5"/>
  <c r="Q178" i="5"/>
  <c r="Q179" i="5"/>
  <c r="Q180" i="5"/>
  <c r="Q181" i="5"/>
  <c r="Q182" i="5"/>
  <c r="E177" i="5"/>
  <c r="F177" i="5"/>
  <c r="G177" i="5"/>
  <c r="H177" i="5"/>
  <c r="I177" i="5"/>
  <c r="J177" i="5"/>
  <c r="K177" i="5"/>
  <c r="L177" i="5"/>
  <c r="M177" i="5"/>
  <c r="N177" i="5"/>
  <c r="O177" i="5"/>
  <c r="E178" i="5"/>
  <c r="F178" i="5"/>
  <c r="G178" i="5"/>
  <c r="H178" i="5"/>
  <c r="I178" i="5"/>
  <c r="J178" i="5"/>
  <c r="K178" i="5"/>
  <c r="L178" i="5"/>
  <c r="M178" i="5"/>
  <c r="N178" i="5"/>
  <c r="O178" i="5"/>
  <c r="E179" i="5"/>
  <c r="F179" i="5"/>
  <c r="G179" i="5"/>
  <c r="H179" i="5"/>
  <c r="I179" i="5"/>
  <c r="J179" i="5"/>
  <c r="K179" i="5"/>
  <c r="L179" i="5"/>
  <c r="M179" i="5"/>
  <c r="N179" i="5"/>
  <c r="O179" i="5"/>
  <c r="E180" i="5"/>
  <c r="F180" i="5"/>
  <c r="G180" i="5"/>
  <c r="H180" i="5"/>
  <c r="I180" i="5"/>
  <c r="J180" i="5"/>
  <c r="K180" i="5"/>
  <c r="L180" i="5"/>
  <c r="M180" i="5"/>
  <c r="N180" i="5"/>
  <c r="O180" i="5"/>
  <c r="E182" i="5"/>
  <c r="F182" i="5"/>
  <c r="G182" i="5"/>
  <c r="H182" i="5"/>
  <c r="I182" i="5"/>
  <c r="J182" i="5"/>
  <c r="K182" i="5"/>
  <c r="L182" i="5"/>
  <c r="M182" i="5"/>
  <c r="N182" i="5"/>
  <c r="O182" i="5"/>
  <c r="D182" i="5"/>
  <c r="D179" i="5"/>
  <c r="D178" i="5"/>
  <c r="D177" i="5"/>
  <c r="D173" i="5"/>
  <c r="E174" i="5"/>
  <c r="F174" i="5"/>
  <c r="G174" i="5"/>
  <c r="H174" i="5"/>
  <c r="I174" i="5"/>
  <c r="J174" i="5"/>
  <c r="K174" i="5"/>
  <c r="L174" i="5"/>
  <c r="M174" i="5"/>
  <c r="N174" i="5"/>
  <c r="O174" i="5"/>
  <c r="D174" i="5"/>
  <c r="P174" i="5" s="1"/>
  <c r="E15" i="15"/>
  <c r="F15" i="15"/>
  <c r="E16" i="15"/>
  <c r="F16" i="15"/>
  <c r="E181" i="5" s="1"/>
  <c r="E17" i="15"/>
  <c r="F17" i="15"/>
  <c r="D180" i="5"/>
  <c r="F14" i="15"/>
  <c r="F13" i="15"/>
  <c r="M3" i="16" l="1"/>
  <c r="G4" i="16" s="1"/>
  <c r="D181" i="5"/>
  <c r="N181" i="5"/>
  <c r="L181" i="5"/>
  <c r="J181" i="5"/>
  <c r="H181" i="5"/>
  <c r="F181" i="5"/>
  <c r="P177" i="5"/>
  <c r="P179" i="5"/>
  <c r="P182" i="5"/>
  <c r="O181" i="5"/>
  <c r="M181" i="5"/>
  <c r="K181" i="5"/>
  <c r="I181" i="5"/>
  <c r="G181" i="5"/>
  <c r="P180" i="5"/>
  <c r="P178" i="5"/>
  <c r="P181" i="5"/>
  <c r="J4" i="16" l="1"/>
  <c r="L4" i="16" l="1"/>
  <c r="I4" i="16"/>
  <c r="K4" i="16" l="1"/>
  <c r="M4" i="16"/>
  <c r="G5" i="16" s="1"/>
  <c r="J5" i="16" l="1"/>
  <c r="P109" i="5"/>
  <c r="F109" i="5" s="1"/>
  <c r="P65" i="5"/>
  <c r="Q65" i="5" s="1"/>
  <c r="R65" i="5" s="1"/>
  <c r="P66" i="5"/>
  <c r="Q66" i="5" s="1"/>
  <c r="R66" i="5" s="1"/>
  <c r="P68" i="5"/>
  <c r="F13" i="11"/>
  <c r="G13" i="11"/>
  <c r="H13" i="11"/>
  <c r="I13" i="11"/>
  <c r="J13" i="11"/>
  <c r="K13" i="11"/>
  <c r="L13" i="11"/>
  <c r="M13" i="11"/>
  <c r="N13" i="11"/>
  <c r="O13" i="11"/>
  <c r="P13" i="11"/>
  <c r="E13" i="11"/>
  <c r="F8" i="11"/>
  <c r="G8" i="11"/>
  <c r="H8" i="11"/>
  <c r="I8" i="11"/>
  <c r="J8" i="11"/>
  <c r="K8" i="11"/>
  <c r="L8" i="11"/>
  <c r="M8" i="11"/>
  <c r="N8" i="11"/>
  <c r="O8" i="11"/>
  <c r="P8" i="11"/>
  <c r="E8" i="11"/>
  <c r="F7" i="11"/>
  <c r="G7" i="11"/>
  <c r="H7" i="11"/>
  <c r="I7" i="11"/>
  <c r="J7" i="11"/>
  <c r="K7" i="11"/>
  <c r="L7" i="11"/>
  <c r="M7" i="11"/>
  <c r="N7" i="11"/>
  <c r="O7" i="11"/>
  <c r="P7" i="11"/>
  <c r="E7" i="11"/>
  <c r="F6" i="11"/>
  <c r="G6" i="11"/>
  <c r="H6" i="11"/>
  <c r="I6" i="11"/>
  <c r="J6" i="11"/>
  <c r="K6" i="11"/>
  <c r="L6" i="11"/>
  <c r="M6" i="11"/>
  <c r="N6" i="11"/>
  <c r="O6" i="11"/>
  <c r="P6" i="11"/>
  <c r="E6" i="11"/>
  <c r="G12" i="11"/>
  <c r="H12" i="11"/>
  <c r="I12" i="11" s="1"/>
  <c r="J12" i="11" s="1"/>
  <c r="K12" i="11" s="1"/>
  <c r="L12" i="11" s="1"/>
  <c r="M12" i="11" s="1"/>
  <c r="N12" i="11" s="1"/>
  <c r="O12" i="11" s="1"/>
  <c r="P12" i="11" s="1"/>
  <c r="F12" i="11"/>
  <c r="G11" i="11"/>
  <c r="H11" i="11" s="1"/>
  <c r="I11" i="11" s="1"/>
  <c r="J11" i="11" s="1"/>
  <c r="K11" i="11" s="1"/>
  <c r="L11" i="11" s="1"/>
  <c r="M11" i="11" s="1"/>
  <c r="N11" i="11" s="1"/>
  <c r="O11" i="11" s="1"/>
  <c r="P11" i="11" s="1"/>
  <c r="F11" i="11"/>
  <c r="L5" i="16" l="1"/>
  <c r="I5" i="16"/>
  <c r="O109" i="5"/>
  <c r="M109" i="5"/>
  <c r="K109" i="5"/>
  <c r="I109" i="5"/>
  <c r="G109" i="5"/>
  <c r="E109" i="5"/>
  <c r="D109" i="5"/>
  <c r="N109" i="5"/>
  <c r="L109" i="5"/>
  <c r="J109" i="5"/>
  <c r="H109" i="5"/>
  <c r="K5" i="16" l="1"/>
  <c r="M5" i="16"/>
  <c r="G6" i="16" s="1"/>
  <c r="J6" i="16" l="1"/>
  <c r="L6" i="16" l="1"/>
  <c r="I6" i="16"/>
  <c r="K6" i="16" l="1"/>
  <c r="M6" i="16"/>
  <c r="G7" i="16" s="1"/>
  <c r="J7" i="16" l="1"/>
  <c r="L7" i="16" l="1"/>
  <c r="I7" i="16"/>
  <c r="K7" i="16" l="1"/>
  <c r="M7" i="16"/>
  <c r="G8" i="16" s="1"/>
  <c r="J8" i="16" l="1"/>
  <c r="L8" i="16" l="1"/>
  <c r="I8" i="16"/>
  <c r="K8" i="16" l="1"/>
  <c r="M8" i="16"/>
  <c r="G9" i="16" s="1"/>
  <c r="J9" i="16" l="1"/>
  <c r="L9" i="16" l="1"/>
  <c r="I9" i="16"/>
  <c r="K9" i="16" l="1"/>
  <c r="M9" i="16"/>
  <c r="G10" i="16" s="1"/>
  <c r="J10" i="16" l="1"/>
  <c r="L10" i="16" l="1"/>
  <c r="I10" i="16"/>
  <c r="K10" i="16" l="1"/>
  <c r="M10" i="16"/>
  <c r="G11" i="16" s="1"/>
  <c r="J11" i="16" l="1"/>
  <c r="L11" i="16" l="1"/>
  <c r="I11" i="16"/>
  <c r="K11" i="16" l="1"/>
  <c r="M11" i="16"/>
  <c r="G12" i="16" s="1"/>
  <c r="J12" i="16" l="1"/>
  <c r="L12" i="16" l="1"/>
  <c r="I12" i="16"/>
  <c r="K12" i="16" l="1"/>
  <c r="M12" i="16"/>
  <c r="G13" i="16" s="1"/>
  <c r="J13" i="16" l="1"/>
  <c r="L13" i="16" l="1"/>
  <c r="I13" i="16"/>
  <c r="K13" i="16" l="1"/>
  <c r="M13" i="16"/>
  <c r="G14" i="16" s="1"/>
  <c r="J14" i="16" l="1"/>
  <c r="L14" i="16" l="1"/>
  <c r="I14" i="16"/>
  <c r="K14" i="16" l="1"/>
  <c r="M14" i="16"/>
  <c r="G15" i="16" s="1"/>
  <c r="J15" i="16" l="1"/>
  <c r="L15" i="16" l="1"/>
  <c r="I15" i="16"/>
  <c r="K15" i="16" l="1"/>
  <c r="M15" i="16"/>
  <c r="G16" i="16" s="1"/>
  <c r="C34" i="5"/>
  <c r="E36" i="5"/>
  <c r="F36" i="5"/>
  <c r="G36" i="5"/>
  <c r="H36" i="5"/>
  <c r="I36" i="5"/>
  <c r="J36" i="5"/>
  <c r="K36" i="5"/>
  <c r="L36" i="5"/>
  <c r="M36" i="5"/>
  <c r="N36" i="5"/>
  <c r="O36" i="5"/>
  <c r="D36" i="5"/>
  <c r="F35" i="5"/>
  <c r="G35" i="5"/>
  <c r="H35" i="5"/>
  <c r="I35" i="5"/>
  <c r="J35" i="5"/>
  <c r="K35" i="5"/>
  <c r="L35" i="5"/>
  <c r="M35" i="5"/>
  <c r="N35" i="5"/>
  <c r="O35" i="5"/>
  <c r="E35" i="5"/>
  <c r="E34" i="5" s="1"/>
  <c r="D35" i="5"/>
  <c r="D34" i="5" s="1"/>
  <c r="G12" i="12"/>
  <c r="H12" i="12"/>
  <c r="I12" i="12" s="1"/>
  <c r="J12" i="12" s="1"/>
  <c r="K12" i="12" s="1"/>
  <c r="L12" i="12" s="1"/>
  <c r="M12" i="12" s="1"/>
  <c r="N12" i="12" s="1"/>
  <c r="O12" i="12" s="1"/>
  <c r="P12" i="12" s="1"/>
  <c r="F12" i="12"/>
  <c r="F6" i="10"/>
  <c r="G6" i="10"/>
  <c r="H6" i="10" s="1"/>
  <c r="I6" i="10" s="1"/>
  <c r="J6" i="10" s="1"/>
  <c r="K6" i="10" s="1"/>
  <c r="L6" i="10" s="1"/>
  <c r="M6" i="10" s="1"/>
  <c r="N6" i="10" s="1"/>
  <c r="O6" i="10" s="1"/>
  <c r="P6" i="10" s="1"/>
  <c r="J16" i="16" l="1"/>
  <c r="N34" i="5"/>
  <c r="L34" i="5"/>
  <c r="J34" i="5"/>
  <c r="H34" i="5"/>
  <c r="F34" i="5"/>
  <c r="O34" i="5"/>
  <c r="M34" i="5"/>
  <c r="K34" i="5"/>
  <c r="I34" i="5"/>
  <c r="G34" i="5"/>
  <c r="P36" i="5"/>
  <c r="Q36" i="5" s="1"/>
  <c r="R36" i="5" s="1"/>
  <c r="P35" i="5"/>
  <c r="C37" i="5"/>
  <c r="C25" i="5"/>
  <c r="D33" i="5"/>
  <c r="E33" i="5"/>
  <c r="F33" i="5"/>
  <c r="G33" i="5"/>
  <c r="H33" i="5"/>
  <c r="I33" i="5"/>
  <c r="J33" i="5"/>
  <c r="K33" i="5"/>
  <c r="L33" i="5"/>
  <c r="M33" i="5"/>
  <c r="N33" i="5"/>
  <c r="O33" i="5"/>
  <c r="D11" i="5"/>
  <c r="D12" i="5"/>
  <c r="D13" i="5"/>
  <c r="D14" i="5"/>
  <c r="D15" i="5"/>
  <c r="D16" i="5"/>
  <c r="D17" i="5"/>
  <c r="D18" i="5"/>
  <c r="L16" i="16" l="1"/>
  <c r="I16" i="16"/>
  <c r="P34" i="5"/>
  <c r="Q35" i="5"/>
  <c r="R35" i="5" s="1"/>
  <c r="P33" i="5"/>
  <c r="Q33" i="5" s="1"/>
  <c r="R33" i="5" s="1"/>
  <c r="K16" i="16" l="1"/>
  <c r="M16" i="16"/>
  <c r="G17" i="16" s="1"/>
  <c r="J17" i="16" l="1"/>
  <c r="L17" i="16" l="1"/>
  <c r="I17" i="16"/>
  <c r="K17" i="16" l="1"/>
  <c r="M17" i="16"/>
  <c r="G18" i="16" s="1"/>
  <c r="J18" i="16" l="1"/>
  <c r="L18" i="16" l="1"/>
  <c r="I18" i="16"/>
  <c r="K18" i="16" l="1"/>
  <c r="M18" i="16"/>
  <c r="G19" i="16" s="1"/>
  <c r="J19" i="16" l="1"/>
  <c r="L19" i="16" l="1"/>
  <c r="I19" i="16"/>
  <c r="K19" i="16" l="1"/>
  <c r="M19" i="16"/>
  <c r="G20" i="16" s="1"/>
  <c r="J20" i="16" l="1"/>
  <c r="L20" i="16" l="1"/>
  <c r="I20" i="16"/>
  <c r="K20" i="16" l="1"/>
  <c r="M20" i="16"/>
  <c r="G21" i="16" s="1"/>
  <c r="J21" i="16" l="1"/>
  <c r="L21" i="16" l="1"/>
  <c r="I21" i="16"/>
  <c r="K21" i="16" l="1"/>
  <c r="M21" i="16"/>
  <c r="G22" i="16" s="1"/>
  <c r="J22" i="16" l="1"/>
  <c r="L22" i="16" l="1"/>
  <c r="I22" i="16"/>
  <c r="K22" i="16" l="1"/>
  <c r="M22" i="16"/>
  <c r="G23" i="16" s="1"/>
  <c r="J23" i="16" l="1"/>
  <c r="L23" i="16" l="1"/>
  <c r="I23" i="16"/>
  <c r="K23" i="16" l="1"/>
  <c r="M23" i="16"/>
  <c r="G24" i="16" s="1"/>
  <c r="J24" i="16" l="1"/>
  <c r="L24" i="16" l="1"/>
  <c r="I24" i="16"/>
  <c r="K24" i="16" l="1"/>
  <c r="M24" i="16"/>
  <c r="G25" i="16" s="1"/>
  <c r="J25" i="16" l="1"/>
  <c r="L25" i="16" l="1"/>
  <c r="I25" i="16"/>
  <c r="K25" i="16" l="1"/>
  <c r="M25" i="16"/>
  <c r="G26" i="16" s="1"/>
  <c r="J26" i="16" l="1"/>
  <c r="L26" i="16" l="1"/>
  <c r="I26" i="16"/>
  <c r="K26" i="16" l="1"/>
  <c r="M26" i="16"/>
  <c r="G27" i="16" s="1"/>
  <c r="J27" i="16" l="1"/>
  <c r="L27" i="16" l="1"/>
  <c r="I27" i="16"/>
  <c r="K27" i="16" l="1"/>
  <c r="M27" i="16"/>
  <c r="G28" i="16" s="1"/>
  <c r="J28" i="16" l="1"/>
  <c r="L28" i="16" l="1"/>
  <c r="I28" i="16"/>
  <c r="K28" i="16" l="1"/>
  <c r="M28" i="16"/>
  <c r="G29" i="16" s="1"/>
  <c r="J29" i="16" l="1"/>
  <c r="L29" i="16" l="1"/>
  <c r="I29" i="16"/>
  <c r="K29" i="16" l="1"/>
  <c r="M29" i="16"/>
  <c r="G30" i="16" s="1"/>
  <c r="J30" i="16" l="1"/>
  <c r="L30" i="16" l="1"/>
  <c r="I30" i="16"/>
  <c r="K30" i="16" l="1"/>
  <c r="M30" i="16"/>
  <c r="G31" i="16" s="1"/>
  <c r="J31" i="16" l="1"/>
  <c r="L31" i="16" l="1"/>
  <c r="I31" i="16"/>
  <c r="K31" i="16" l="1"/>
  <c r="M31" i="16"/>
  <c r="G32" i="16" s="1"/>
  <c r="J32" i="16" l="1"/>
  <c r="L32" i="16" l="1"/>
  <c r="I32" i="16"/>
  <c r="K32" i="16" l="1"/>
  <c r="M32" i="16"/>
  <c r="G33" i="16" s="1"/>
  <c r="J33" i="16" l="1"/>
  <c r="L33" i="16" l="1"/>
  <c r="I33" i="16"/>
  <c r="K33" i="16" l="1"/>
  <c r="M33" i="16"/>
  <c r="G34" i="16" s="1"/>
  <c r="J34" i="16" l="1"/>
  <c r="L34" i="16" l="1"/>
  <c r="I34" i="16"/>
  <c r="K34" i="16" l="1"/>
  <c r="M34" i="16"/>
  <c r="G35" i="16" s="1"/>
  <c r="J35" i="16" l="1"/>
  <c r="L35" i="16" l="1"/>
  <c r="I35" i="16"/>
  <c r="K35" i="16" l="1"/>
  <c r="M35" i="16"/>
  <c r="G36" i="16" s="1"/>
  <c r="J36" i="16" l="1"/>
  <c r="L36" i="16" l="1"/>
  <c r="I36" i="16"/>
  <c r="K36" i="16" l="1"/>
  <c r="M36" i="16"/>
  <c r="G37" i="16" s="1"/>
  <c r="J37" i="16" l="1"/>
  <c r="L37" i="16" l="1"/>
  <c r="I37" i="16"/>
  <c r="K37" i="16" l="1"/>
  <c r="M37" i="16"/>
  <c r="G38" i="16" s="1"/>
  <c r="J38" i="16" l="1"/>
  <c r="L38" i="16" l="1"/>
  <c r="I38" i="16"/>
  <c r="K38" i="16" l="1"/>
  <c r="M38" i="16"/>
  <c r="G39" i="16" s="1"/>
  <c r="J39" i="16" l="1"/>
  <c r="L39" i="16" l="1"/>
  <c r="I39" i="16"/>
  <c r="K39" i="16" l="1"/>
  <c r="M39" i="16"/>
  <c r="G40" i="16" s="1"/>
  <c r="J40" i="16" l="1"/>
  <c r="L40" i="16" l="1"/>
  <c r="I40" i="16"/>
  <c r="K40" i="16" l="1"/>
  <c r="M40" i="16"/>
  <c r="G41" i="16" s="1"/>
  <c r="J41" i="16" l="1"/>
  <c r="L41" i="16" l="1"/>
  <c r="I41" i="16"/>
  <c r="K41" i="16" l="1"/>
  <c r="M41" i="16"/>
  <c r="G42" i="16" s="1"/>
  <c r="J42" i="16" l="1"/>
  <c r="L42" i="16" l="1"/>
  <c r="I42" i="16"/>
  <c r="K42" i="16" l="1"/>
  <c r="M42" i="16"/>
  <c r="G43" i="16" s="1"/>
  <c r="J43" i="16" l="1"/>
  <c r="L43" i="16" l="1"/>
  <c r="I43" i="16"/>
  <c r="K43" i="16" l="1"/>
  <c r="M43" i="16"/>
  <c r="G44" i="16" s="1"/>
  <c r="J44" i="16" l="1"/>
  <c r="L44" i="16" l="1"/>
  <c r="I44" i="16"/>
  <c r="K44" i="16" l="1"/>
  <c r="M44" i="16"/>
  <c r="G45" i="16" s="1"/>
  <c r="J45" i="16" l="1"/>
  <c r="L45" i="16" l="1"/>
  <c r="I45" i="16"/>
  <c r="K45" i="16" l="1"/>
  <c r="M45" i="16"/>
  <c r="G46" i="16" s="1"/>
  <c r="J46" i="16" l="1"/>
  <c r="L46" i="16" l="1"/>
  <c r="I46" i="16"/>
  <c r="K46" i="16" l="1"/>
  <c r="M46" i="16"/>
  <c r="G47" i="16" s="1"/>
  <c r="J47" i="16" l="1"/>
  <c r="L47" i="16" l="1"/>
  <c r="I47" i="16"/>
  <c r="K47" i="16" l="1"/>
  <c r="M47" i="16"/>
  <c r="G48" i="16" s="1"/>
  <c r="J48" i="16" l="1"/>
  <c r="L48" i="16" l="1"/>
  <c r="I48" i="16"/>
  <c r="K48" i="16" l="1"/>
  <c r="M48" i="16"/>
  <c r="G49" i="16" s="1"/>
  <c r="J49" i="16" l="1"/>
  <c r="L49" i="16" l="1"/>
  <c r="I49" i="16"/>
  <c r="K49" i="16" l="1"/>
  <c r="M49" i="16"/>
  <c r="G50" i="16" s="1"/>
  <c r="J50" i="16" l="1"/>
  <c r="L50" i="16" l="1"/>
  <c r="I50" i="16"/>
  <c r="K50" i="16" l="1"/>
  <c r="M50" i="16"/>
  <c r="G51" i="16" s="1"/>
  <c r="J51" i="16" l="1"/>
  <c r="L51" i="16" l="1"/>
  <c r="I51" i="16"/>
  <c r="K51" i="16" l="1"/>
  <c r="M51" i="16"/>
  <c r="G52" i="16" s="1"/>
  <c r="J52" i="16" l="1"/>
  <c r="L52" i="16" l="1"/>
  <c r="I52" i="16"/>
  <c r="K52" i="16" l="1"/>
  <c r="M52" i="16"/>
  <c r="G53" i="16" s="1"/>
  <c r="J53" i="16" l="1"/>
  <c r="L53" i="16" l="1"/>
  <c r="I53" i="16"/>
  <c r="K53" i="16" l="1"/>
  <c r="M53" i="16"/>
  <c r="G54" i="16" s="1"/>
  <c r="J54" i="16" l="1"/>
  <c r="L54" i="16" l="1"/>
  <c r="I54" i="16"/>
  <c r="K54" i="16" l="1"/>
  <c r="M54" i="16"/>
  <c r="G55" i="16" s="1"/>
  <c r="J55" i="16" l="1"/>
  <c r="L55" i="16" l="1"/>
  <c r="I55" i="16"/>
  <c r="K55" i="16" l="1"/>
  <c r="M55" i="16"/>
  <c r="G56" i="16" s="1"/>
  <c r="J56" i="16" l="1"/>
  <c r="L56" i="16" l="1"/>
  <c r="I56" i="16"/>
  <c r="K56" i="16" l="1"/>
  <c r="M56" i="16"/>
  <c r="G57" i="16" s="1"/>
  <c r="P70" i="5"/>
  <c r="P71" i="5"/>
  <c r="P73" i="5"/>
  <c r="P74" i="5"/>
  <c r="P75" i="5"/>
  <c r="P76" i="5"/>
  <c r="P77" i="5"/>
  <c r="P78" i="5"/>
  <c r="P69" i="5"/>
  <c r="D67" i="5"/>
  <c r="E67" i="5"/>
  <c r="F67" i="5"/>
  <c r="G67" i="5"/>
  <c r="H67" i="5"/>
  <c r="I67" i="5"/>
  <c r="J67" i="5"/>
  <c r="K67" i="5"/>
  <c r="L67" i="5"/>
  <c r="M67" i="5"/>
  <c r="N67" i="5"/>
  <c r="O67" i="5"/>
  <c r="J57" i="16" l="1"/>
  <c r="L57" i="16" l="1"/>
  <c r="I57" i="16"/>
  <c r="K57" i="16" l="1"/>
  <c r="M57" i="16"/>
  <c r="G58" i="16" s="1"/>
  <c r="J58" i="16" l="1"/>
  <c r="L58" i="16" l="1"/>
  <c r="I58" i="16"/>
  <c r="K58" i="16" l="1"/>
  <c r="M58" i="16"/>
  <c r="G59" i="16" s="1"/>
  <c r="J59" i="16" l="1"/>
  <c r="L59" i="16" l="1"/>
  <c r="I59" i="16"/>
  <c r="K59" i="16" l="1"/>
  <c r="M59" i="16"/>
  <c r="G60" i="16" s="1"/>
  <c r="J60" i="16" l="1"/>
  <c r="L60" i="16" l="1"/>
  <c r="I60" i="16"/>
  <c r="E18" i="15"/>
  <c r="E6" i="15" s="1"/>
  <c r="F5" i="15"/>
  <c r="E170" i="5" s="1"/>
  <c r="F6" i="15"/>
  <c r="E171" i="5" s="1"/>
  <c r="F7" i="15"/>
  <c r="E172" i="5" s="1"/>
  <c r="F8" i="15"/>
  <c r="E173" i="5" s="1"/>
  <c r="F9" i="15"/>
  <c r="F10" i="15"/>
  <c r="F11" i="15"/>
  <c r="F12" i="15"/>
  <c r="F4" i="15"/>
  <c r="E169" i="5" s="1"/>
  <c r="C18" i="15"/>
  <c r="K60" i="16" l="1"/>
  <c r="M60" i="16"/>
  <c r="G61" i="16" s="1"/>
  <c r="E175" i="5"/>
  <c r="G175" i="5"/>
  <c r="I175" i="5"/>
  <c r="K175" i="5"/>
  <c r="M175" i="5"/>
  <c r="O175" i="5"/>
  <c r="D175" i="5"/>
  <c r="F175" i="5"/>
  <c r="H175" i="5"/>
  <c r="J175" i="5"/>
  <c r="L175" i="5"/>
  <c r="N175" i="5"/>
  <c r="F176" i="5"/>
  <c r="H176" i="5"/>
  <c r="J176" i="5"/>
  <c r="L176" i="5"/>
  <c r="N176" i="5"/>
  <c r="D176" i="5"/>
  <c r="E176" i="5"/>
  <c r="G176" i="5"/>
  <c r="I176" i="5"/>
  <c r="K176" i="5"/>
  <c r="M176" i="5"/>
  <c r="O176" i="5"/>
  <c r="E10" i="15"/>
  <c r="E4" i="15"/>
  <c r="E5" i="15"/>
  <c r="E14" i="15"/>
  <c r="E13" i="15"/>
  <c r="E8" i="15"/>
  <c r="E12" i="15"/>
  <c r="E11" i="15"/>
  <c r="E9" i="15"/>
  <c r="E7" i="15"/>
  <c r="D18" i="15"/>
  <c r="J61" i="16" l="1"/>
  <c r="P175" i="5"/>
  <c r="P176" i="5"/>
  <c r="L61" i="16" l="1"/>
  <c r="I61" i="16"/>
  <c r="K61" i="16" l="1"/>
  <c r="M61" i="16"/>
  <c r="G62" i="16" s="1"/>
  <c r="J62" i="16" l="1"/>
  <c r="L62" i="16" l="1"/>
  <c r="I62" i="16"/>
  <c r="K62" i="16" l="1"/>
  <c r="M62" i="16"/>
  <c r="G63" i="16" s="1"/>
  <c r="J63" i="16" l="1"/>
  <c r="L63" i="16" l="1"/>
  <c r="I63" i="16"/>
  <c r="K63" i="16" l="1"/>
  <c r="M63" i="16"/>
  <c r="G64" i="16" s="1"/>
  <c r="J64" i="16" l="1"/>
  <c r="L64" i="16" l="1"/>
  <c r="I64" i="16"/>
  <c r="K64" i="16" l="1"/>
  <c r="M64" i="16"/>
  <c r="G65" i="16" s="1"/>
  <c r="J65" i="16" l="1"/>
  <c r="L65" i="16" l="1"/>
  <c r="I65" i="16"/>
  <c r="K65" i="16" l="1"/>
  <c r="M65" i="16"/>
  <c r="G66" i="16" s="1"/>
  <c r="J66" i="16" l="1"/>
  <c r="L66" i="16" l="1"/>
  <c r="I66" i="16"/>
  <c r="K66" i="16" l="1"/>
  <c r="M66" i="16"/>
  <c r="G67" i="16" s="1"/>
  <c r="J67" i="16" l="1"/>
  <c r="L67" i="16" l="1"/>
  <c r="I67" i="16"/>
  <c r="K67" i="16" l="1"/>
  <c r="M67" i="16"/>
  <c r="G68" i="16" s="1"/>
  <c r="J68" i="16" l="1"/>
  <c r="L68" i="16" l="1"/>
  <c r="I68" i="16"/>
  <c r="K68" i="16" l="1"/>
  <c r="M68" i="16"/>
  <c r="G69" i="16" s="1"/>
  <c r="J69" i="16" l="1"/>
  <c r="L69" i="16" l="1"/>
  <c r="I69" i="16"/>
  <c r="K69" i="16" l="1"/>
  <c r="M69" i="16"/>
  <c r="G70" i="16" s="1"/>
  <c r="J70" i="16" l="1"/>
  <c r="L70" i="16" l="1"/>
  <c r="I70" i="16"/>
  <c r="K70" i="16" l="1"/>
  <c r="M70" i="16"/>
  <c r="G71" i="16" s="1"/>
  <c r="J71" i="16" l="1"/>
  <c r="L71" i="16" l="1"/>
  <c r="I71" i="16"/>
  <c r="K71" i="16" l="1"/>
  <c r="M71" i="16"/>
  <c r="G72" i="16" s="1"/>
  <c r="J72" i="16" l="1"/>
  <c r="L72" i="16" l="1"/>
  <c r="I72" i="16"/>
  <c r="K72" i="16" l="1"/>
  <c r="M72" i="16"/>
  <c r="G73" i="16" s="1"/>
  <c r="J73" i="16" l="1"/>
  <c r="L73" i="16" l="1"/>
  <c r="I73" i="16"/>
  <c r="K73" i="16" l="1"/>
  <c r="M73" i="16"/>
  <c r="G74" i="16" s="1"/>
  <c r="J74" i="16" l="1"/>
  <c r="L74" i="16" l="1"/>
  <c r="I74" i="16"/>
  <c r="K74" i="16" l="1"/>
  <c r="M74" i="16"/>
  <c r="F7" i="10" l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F8" i="10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F9" i="10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F10" i="10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F11" i="10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F12" i="10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F13" i="10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Q19" i="5" l="1"/>
  <c r="H18" i="5"/>
  <c r="F6" i="9"/>
  <c r="G6" i="9" s="1"/>
  <c r="H6" i="9" s="1"/>
  <c r="I6" i="9" s="1"/>
  <c r="J6" i="9" s="1"/>
  <c r="K6" i="9" s="1"/>
  <c r="L6" i="9" s="1"/>
  <c r="M6" i="9" s="1"/>
  <c r="N6" i="9" s="1"/>
  <c r="O6" i="9" s="1"/>
  <c r="P6" i="9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F10" i="9"/>
  <c r="G10" i="9" s="1"/>
  <c r="H10" i="9" s="1"/>
  <c r="I10" i="9" s="1"/>
  <c r="J10" i="9" s="1"/>
  <c r="K10" i="9" s="1"/>
  <c r="L10" i="9" s="1"/>
  <c r="M10" i="9" s="1"/>
  <c r="N10" i="9" s="1"/>
  <c r="O10" i="9" s="1"/>
  <c r="P10" i="9" s="1"/>
  <c r="F11" i="9"/>
  <c r="G11" i="9" s="1"/>
  <c r="H11" i="9" s="1"/>
  <c r="I11" i="9" s="1"/>
  <c r="J11" i="9" s="1"/>
  <c r="K11" i="9" s="1"/>
  <c r="L11" i="9" s="1"/>
  <c r="M11" i="9" s="1"/>
  <c r="N11" i="9" s="1"/>
  <c r="O11" i="9" s="1"/>
  <c r="P11" i="9" s="1"/>
  <c r="F12" i="9"/>
  <c r="G12" i="9" s="1"/>
  <c r="H12" i="9" s="1"/>
  <c r="I12" i="9" s="1"/>
  <c r="J12" i="9" s="1"/>
  <c r="K12" i="9" s="1"/>
  <c r="L12" i="9" s="1"/>
  <c r="M12" i="9" s="1"/>
  <c r="N12" i="9" s="1"/>
  <c r="O12" i="9" s="1"/>
  <c r="P12" i="9" s="1"/>
  <c r="F5" i="9"/>
  <c r="H5" i="9" s="1"/>
  <c r="I5" i="9" s="1"/>
  <c r="J5" i="9" s="1"/>
  <c r="K5" i="9" s="1"/>
  <c r="L5" i="9" s="1"/>
  <c r="M5" i="9" s="1"/>
  <c r="N5" i="9" s="1"/>
  <c r="O5" i="9" s="1"/>
  <c r="P5" i="9" s="1"/>
  <c r="E17" i="5" l="1"/>
  <c r="F17" i="5"/>
  <c r="E13" i="5"/>
  <c r="F13" i="5"/>
  <c r="M12" i="5"/>
  <c r="E11" i="5"/>
  <c r="E18" i="5"/>
  <c r="E16" i="5"/>
  <c r="E14" i="5"/>
  <c r="E12" i="5"/>
  <c r="H11" i="5"/>
  <c r="G17" i="5"/>
  <c r="G15" i="5"/>
  <c r="G13" i="5"/>
  <c r="E15" i="5"/>
  <c r="F11" i="5"/>
  <c r="F15" i="5"/>
  <c r="G11" i="5"/>
  <c r="D21" i="5"/>
  <c r="R126" i="5"/>
  <c r="R127" i="5"/>
  <c r="R128" i="5"/>
  <c r="R129" i="5"/>
  <c r="R130" i="5"/>
  <c r="R132" i="5"/>
  <c r="R133" i="5"/>
  <c r="R134" i="5"/>
  <c r="R135" i="5"/>
  <c r="R136" i="5"/>
  <c r="R137" i="5"/>
  <c r="R139" i="5"/>
  <c r="R141" i="5"/>
  <c r="R142" i="5"/>
  <c r="R144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7" i="5"/>
  <c r="R168" i="5"/>
  <c r="R184" i="5"/>
  <c r="R185" i="5"/>
  <c r="R187" i="5"/>
  <c r="E21" i="5" l="1"/>
  <c r="H13" i="5"/>
  <c r="H15" i="5"/>
  <c r="H17" i="5"/>
  <c r="I11" i="5"/>
  <c r="F12" i="5"/>
  <c r="F14" i="5"/>
  <c r="F16" i="5"/>
  <c r="F18" i="5"/>
  <c r="R19" i="5"/>
  <c r="R20" i="5"/>
  <c r="R22" i="5"/>
  <c r="R23" i="5"/>
  <c r="R24" i="5"/>
  <c r="R46" i="5"/>
  <c r="R47" i="5"/>
  <c r="R48" i="5"/>
  <c r="R49" i="5"/>
  <c r="R51" i="5"/>
  <c r="R52" i="5"/>
  <c r="R53" i="5"/>
  <c r="R54" i="5"/>
  <c r="R55" i="5"/>
  <c r="R57" i="5"/>
  <c r="R59" i="5"/>
  <c r="R61" i="5"/>
  <c r="R62" i="5"/>
  <c r="R63" i="5"/>
  <c r="R67" i="5"/>
  <c r="R82" i="5"/>
  <c r="R83" i="5"/>
  <c r="R94" i="5"/>
  <c r="R95" i="5"/>
  <c r="R100" i="5"/>
  <c r="R101" i="5"/>
  <c r="R103" i="5"/>
  <c r="R104" i="5"/>
  <c r="R110" i="5"/>
  <c r="R112" i="5"/>
  <c r="R113" i="5"/>
  <c r="R116" i="5"/>
  <c r="R117" i="5"/>
  <c r="R119" i="5"/>
  <c r="R120" i="5"/>
  <c r="R122" i="5"/>
  <c r="R123" i="5"/>
  <c r="G18" i="5" l="1"/>
  <c r="G16" i="5"/>
  <c r="G14" i="5"/>
  <c r="G12" i="5"/>
  <c r="J11" i="5"/>
  <c r="I17" i="5"/>
  <c r="I15" i="5"/>
  <c r="I13" i="5"/>
  <c r="F21" i="5"/>
  <c r="Q74" i="5"/>
  <c r="R74" i="5" s="1"/>
  <c r="G21" i="5" l="1"/>
  <c r="J13" i="5"/>
  <c r="J15" i="5"/>
  <c r="J17" i="5"/>
  <c r="K11" i="5"/>
  <c r="H12" i="5"/>
  <c r="H14" i="5"/>
  <c r="H16" i="5"/>
  <c r="I18" i="5"/>
  <c r="D27" i="5"/>
  <c r="J18" i="5" l="1"/>
  <c r="I16" i="5"/>
  <c r="I14" i="5"/>
  <c r="I12" i="5"/>
  <c r="L11" i="5"/>
  <c r="K17" i="5"/>
  <c r="K15" i="5"/>
  <c r="K13" i="5"/>
  <c r="H21" i="5"/>
  <c r="P107" i="5"/>
  <c r="K106" i="5"/>
  <c r="J106" i="5"/>
  <c r="G106" i="5"/>
  <c r="F106" i="5"/>
  <c r="P105" i="5"/>
  <c r="I21" i="5" l="1"/>
  <c r="L13" i="5"/>
  <c r="L15" i="5"/>
  <c r="L17" i="5"/>
  <c r="M11" i="5"/>
  <c r="J12" i="5"/>
  <c r="J14" i="5"/>
  <c r="J16" i="5"/>
  <c r="K18" i="5"/>
  <c r="P106" i="5"/>
  <c r="L18" i="5" l="1"/>
  <c r="K16" i="5"/>
  <c r="K14" i="5"/>
  <c r="K12" i="5"/>
  <c r="O11" i="5"/>
  <c r="N11" i="5"/>
  <c r="M17" i="5"/>
  <c r="M15" i="5"/>
  <c r="M13" i="5"/>
  <c r="J21" i="5"/>
  <c r="P197" i="5"/>
  <c r="K21" i="5" l="1"/>
  <c r="O13" i="5"/>
  <c r="N13" i="5"/>
  <c r="O15" i="5"/>
  <c r="N15" i="5"/>
  <c r="O17" i="5"/>
  <c r="N17" i="5"/>
  <c r="L12" i="5"/>
  <c r="L14" i="5"/>
  <c r="L16" i="5"/>
  <c r="M18" i="5"/>
  <c r="P88" i="5"/>
  <c r="L21" i="5" l="1"/>
  <c r="O18" i="5"/>
  <c r="N18" i="5"/>
  <c r="M16" i="5"/>
  <c r="M14" i="5"/>
  <c r="O12" i="5"/>
  <c r="N12" i="5"/>
  <c r="Q67" i="5"/>
  <c r="H135" i="5"/>
  <c r="I135" i="5"/>
  <c r="E99" i="5"/>
  <c r="F99" i="5"/>
  <c r="G99" i="5"/>
  <c r="H99" i="5"/>
  <c r="I99" i="5"/>
  <c r="J99" i="5"/>
  <c r="K99" i="5"/>
  <c r="L99" i="5"/>
  <c r="M99" i="5"/>
  <c r="N99" i="5"/>
  <c r="O99" i="5"/>
  <c r="M21" i="5" l="1"/>
  <c r="O14" i="5"/>
  <c r="N14" i="5"/>
  <c r="O16" i="5"/>
  <c r="N16" i="5"/>
  <c r="N172" i="5"/>
  <c r="L172" i="5"/>
  <c r="J172" i="5"/>
  <c r="H172" i="5"/>
  <c r="F172" i="5"/>
  <c r="O172" i="5"/>
  <c r="K172" i="5"/>
  <c r="G172" i="5"/>
  <c r="D172" i="5"/>
  <c r="M172" i="5"/>
  <c r="I172" i="5"/>
  <c r="N170" i="5"/>
  <c r="L170" i="5"/>
  <c r="J170" i="5"/>
  <c r="H170" i="5"/>
  <c r="F170" i="5"/>
  <c r="M170" i="5"/>
  <c r="I170" i="5"/>
  <c r="D170" i="5"/>
  <c r="O170" i="5"/>
  <c r="K170" i="5"/>
  <c r="G170" i="5"/>
  <c r="N173" i="5"/>
  <c r="L173" i="5"/>
  <c r="J173" i="5"/>
  <c r="H173" i="5"/>
  <c r="F173" i="5"/>
  <c r="M173" i="5"/>
  <c r="I173" i="5"/>
  <c r="O173" i="5"/>
  <c r="K173" i="5"/>
  <c r="G173" i="5"/>
  <c r="O169" i="5"/>
  <c r="M169" i="5"/>
  <c r="K169" i="5"/>
  <c r="I169" i="5"/>
  <c r="G169" i="5"/>
  <c r="D169" i="5"/>
  <c r="L169" i="5"/>
  <c r="H169" i="5"/>
  <c r="N169" i="5"/>
  <c r="J169" i="5"/>
  <c r="F169" i="5"/>
  <c r="N171" i="5"/>
  <c r="L171" i="5"/>
  <c r="J171" i="5"/>
  <c r="H171" i="5"/>
  <c r="F171" i="5"/>
  <c r="D171" i="5"/>
  <c r="M171" i="5"/>
  <c r="I171" i="5"/>
  <c r="O171" i="5"/>
  <c r="K171" i="5"/>
  <c r="G171" i="5"/>
  <c r="P173" i="5" l="1"/>
  <c r="P170" i="5"/>
  <c r="P172" i="5"/>
  <c r="P171" i="5"/>
  <c r="O21" i="5"/>
  <c r="N21" i="5"/>
  <c r="D183" i="5"/>
  <c r="E204" i="5"/>
  <c r="F204" i="5"/>
  <c r="G204" i="5"/>
  <c r="H204" i="5"/>
  <c r="I204" i="5"/>
  <c r="J204" i="5"/>
  <c r="K204" i="5"/>
  <c r="L204" i="5"/>
  <c r="M204" i="5"/>
  <c r="N204" i="5"/>
  <c r="O204" i="5"/>
  <c r="D204" i="5"/>
  <c r="P196" i="5"/>
  <c r="P204" i="5" l="1"/>
  <c r="P64" i="5"/>
  <c r="P169" i="5" l="1"/>
  <c r="Q169" i="5" s="1"/>
  <c r="R169" i="5" s="1"/>
  <c r="Q70" i="5"/>
  <c r="R70" i="5" s="1"/>
  <c r="Q20" i="5"/>
  <c r="Q22" i="5"/>
  <c r="Q23" i="5"/>
  <c r="Q24" i="5"/>
  <c r="Q34" i="5"/>
  <c r="R34" i="5" s="1"/>
  <c r="Q46" i="5"/>
  <c r="Q47" i="5"/>
  <c r="Q48" i="5"/>
  <c r="Q49" i="5"/>
  <c r="Q51" i="5"/>
  <c r="Q52" i="5"/>
  <c r="Q57" i="5"/>
  <c r="Q59" i="5"/>
  <c r="Q61" i="5"/>
  <c r="Q62" i="5"/>
  <c r="Q63" i="5"/>
  <c r="Q64" i="5"/>
  <c r="R64" i="5" s="1"/>
  <c r="Q68" i="5"/>
  <c r="R68" i="5" s="1"/>
  <c r="Q69" i="5"/>
  <c r="R69" i="5" s="1"/>
  <c r="Q78" i="5"/>
  <c r="R78" i="5" s="1"/>
  <c r="Q82" i="5"/>
  <c r="Q83" i="5"/>
  <c r="Q90" i="5"/>
  <c r="R90" i="5" s="1"/>
  <c r="Q94" i="5"/>
  <c r="Q95" i="5"/>
  <c r="Q101" i="5"/>
  <c r="Q103" i="5"/>
  <c r="Q104" i="5"/>
  <c r="Q105" i="5"/>
  <c r="R105" i="5" s="1"/>
  <c r="Q107" i="5"/>
  <c r="R107" i="5" s="1"/>
  <c r="Q110" i="5"/>
  <c r="Q112" i="5"/>
  <c r="Q113" i="5"/>
  <c r="Q116" i="5"/>
  <c r="Q117" i="5"/>
  <c r="Q119" i="5"/>
  <c r="Q120" i="5"/>
  <c r="Q122" i="5"/>
  <c r="Q123" i="5"/>
  <c r="Q126" i="5"/>
  <c r="Q130" i="5"/>
  <c r="Q132" i="5"/>
  <c r="Q133" i="5"/>
  <c r="Q134" i="5"/>
  <c r="Q137" i="5"/>
  <c r="Q139" i="5"/>
  <c r="Q141" i="5"/>
  <c r="Q142" i="5"/>
  <c r="Q144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7" i="5"/>
  <c r="Q168" i="5"/>
  <c r="Q184" i="5"/>
  <c r="Q185" i="5"/>
  <c r="Q187" i="5"/>
  <c r="Q93" i="5" l="1"/>
  <c r="R93" i="5" s="1"/>
  <c r="E93" i="5"/>
  <c r="G93" i="5"/>
  <c r="I93" i="5"/>
  <c r="K93" i="5"/>
  <c r="M93" i="5"/>
  <c r="O93" i="5"/>
  <c r="D93" i="5"/>
  <c r="F93" i="5"/>
  <c r="H93" i="5"/>
  <c r="J93" i="5"/>
  <c r="L93" i="5"/>
  <c r="N93" i="5"/>
  <c r="C183" i="5"/>
  <c r="C166" i="5"/>
  <c r="R166" i="5" s="1"/>
  <c r="C145" i="5"/>
  <c r="C138" i="5"/>
  <c r="R138" i="5" s="1"/>
  <c r="C131" i="5"/>
  <c r="R131" i="5" s="1"/>
  <c r="C125" i="5"/>
  <c r="C115" i="5"/>
  <c r="C96" i="5"/>
  <c r="Q75" i="5"/>
  <c r="R75" i="5" s="1"/>
  <c r="Q73" i="5"/>
  <c r="R73" i="5" s="1"/>
  <c r="Q71" i="5"/>
  <c r="R71" i="5" s="1"/>
  <c r="C81" i="5"/>
  <c r="R56" i="5"/>
  <c r="C21" i="5"/>
  <c r="C10" i="5" l="1"/>
  <c r="Q96" i="5"/>
  <c r="R96" i="5"/>
  <c r="C140" i="5"/>
  <c r="C186" i="5" s="1"/>
  <c r="C58" i="5"/>
  <c r="R58" i="5" s="1"/>
  <c r="Q56" i="5"/>
  <c r="C50" i="5"/>
  <c r="C60" i="5" l="1"/>
  <c r="O131" i="5"/>
  <c r="N131" i="5"/>
  <c r="M131" i="5"/>
  <c r="L131" i="5"/>
  <c r="K131" i="5"/>
  <c r="J131" i="5"/>
  <c r="I131" i="5"/>
  <c r="H131" i="5"/>
  <c r="G131" i="5"/>
  <c r="F131" i="5"/>
  <c r="D131" i="5"/>
  <c r="P130" i="5"/>
  <c r="P129" i="5"/>
  <c r="Q129" i="5" s="1"/>
  <c r="Q170" i="5"/>
  <c r="R170" i="5" s="1"/>
  <c r="Q171" i="5"/>
  <c r="R171" i="5" s="1"/>
  <c r="Q172" i="5"/>
  <c r="R172" i="5" s="1"/>
  <c r="Q173" i="5"/>
  <c r="R173" i="5" s="1"/>
  <c r="E183" i="5"/>
  <c r="F183" i="5"/>
  <c r="G183" i="5"/>
  <c r="H183" i="5"/>
  <c r="I183" i="5"/>
  <c r="J183" i="5"/>
  <c r="K183" i="5"/>
  <c r="L183" i="5"/>
  <c r="M183" i="5"/>
  <c r="N183" i="5"/>
  <c r="O183" i="5"/>
  <c r="E131" i="5" l="1"/>
  <c r="P144" i="5"/>
  <c r="P183" i="5"/>
  <c r="Q183" i="5" s="1"/>
  <c r="R183" i="5" s="1"/>
  <c r="Q128" i="5" l="1"/>
  <c r="P114" i="5"/>
  <c r="Q114" i="5" s="1"/>
  <c r="R114" i="5" s="1"/>
  <c r="P131" i="5" l="1"/>
  <c r="Q131" i="5" s="1"/>
  <c r="E107" i="5" l="1"/>
  <c r="F107" i="5"/>
  <c r="G107" i="5"/>
  <c r="H107" i="5"/>
  <c r="I107" i="5"/>
  <c r="J107" i="5"/>
  <c r="K107" i="5"/>
  <c r="L107" i="5"/>
  <c r="M107" i="5"/>
  <c r="N107" i="5"/>
  <c r="O107" i="5"/>
  <c r="D107" i="5"/>
  <c r="Q106" i="5"/>
  <c r="R106" i="5" s="1"/>
  <c r="L90" i="5"/>
  <c r="F90" i="5"/>
  <c r="F94" i="5" l="1"/>
  <c r="G94" i="5"/>
  <c r="H94" i="5"/>
  <c r="I94" i="5"/>
  <c r="J94" i="5"/>
  <c r="K94" i="5"/>
  <c r="L94" i="5"/>
  <c r="M94" i="5"/>
  <c r="N94" i="5"/>
  <c r="O94" i="5"/>
  <c r="F95" i="5"/>
  <c r="G95" i="5"/>
  <c r="H95" i="5"/>
  <c r="I95" i="5"/>
  <c r="J95" i="5"/>
  <c r="K95" i="5"/>
  <c r="L95" i="5"/>
  <c r="M95" i="5"/>
  <c r="N95" i="5"/>
  <c r="O95" i="5"/>
  <c r="F96" i="5"/>
  <c r="G96" i="5"/>
  <c r="H96" i="5"/>
  <c r="I96" i="5"/>
  <c r="J96" i="5"/>
  <c r="K96" i="5"/>
  <c r="L96" i="5"/>
  <c r="M96" i="5"/>
  <c r="N96" i="5"/>
  <c r="O96" i="5"/>
  <c r="G84" i="5"/>
  <c r="H84" i="5"/>
  <c r="I84" i="5"/>
  <c r="J84" i="5"/>
  <c r="K84" i="5"/>
  <c r="L84" i="5"/>
  <c r="M84" i="5"/>
  <c r="N84" i="5"/>
  <c r="O84" i="5"/>
  <c r="C84" i="5" s="1"/>
  <c r="F84" i="5"/>
  <c r="E94" i="5"/>
  <c r="E95" i="5"/>
  <c r="E96" i="5"/>
  <c r="E84" i="5"/>
  <c r="D94" i="5"/>
  <c r="D95" i="5"/>
  <c r="D96" i="5"/>
  <c r="D84" i="5"/>
  <c r="Q84" i="5" l="1"/>
  <c r="R84" i="5"/>
  <c r="Q88" i="5"/>
  <c r="R88" i="5" s="1"/>
  <c r="Q79" i="5"/>
  <c r="R79" i="5" s="1"/>
  <c r="D69" i="5"/>
  <c r="E69" i="5"/>
  <c r="F69" i="5"/>
  <c r="G69" i="5"/>
  <c r="H69" i="5"/>
  <c r="I69" i="5"/>
  <c r="J69" i="5"/>
  <c r="K69" i="5"/>
  <c r="L69" i="5"/>
  <c r="M69" i="5"/>
  <c r="N69" i="5"/>
  <c r="O69" i="5"/>
  <c r="Q76" i="5" l="1"/>
  <c r="R76" i="5" s="1"/>
  <c r="P55" i="5" l="1"/>
  <c r="Q55" i="5" s="1"/>
  <c r="P54" i="5"/>
  <c r="Q54" i="5" s="1"/>
  <c r="P53" i="5"/>
  <c r="Q53" i="5" s="1"/>
  <c r="D39" i="5" l="1"/>
  <c r="E39" i="5"/>
  <c r="F39" i="5"/>
  <c r="G39" i="5"/>
  <c r="H39" i="5"/>
  <c r="I39" i="5"/>
  <c r="J39" i="5"/>
  <c r="K39" i="5"/>
  <c r="L39" i="5"/>
  <c r="M39" i="5"/>
  <c r="N39" i="5"/>
  <c r="O39" i="5"/>
  <c r="D40" i="5"/>
  <c r="E40" i="5"/>
  <c r="F40" i="5"/>
  <c r="G40" i="5"/>
  <c r="H40" i="5"/>
  <c r="I40" i="5"/>
  <c r="J40" i="5"/>
  <c r="K40" i="5"/>
  <c r="L40" i="5"/>
  <c r="M40" i="5"/>
  <c r="N40" i="5"/>
  <c r="O40" i="5"/>
  <c r="D41" i="5"/>
  <c r="E41" i="5"/>
  <c r="F41" i="5"/>
  <c r="G41" i="5"/>
  <c r="H41" i="5"/>
  <c r="I41" i="5"/>
  <c r="J41" i="5"/>
  <c r="K41" i="5"/>
  <c r="L41" i="5"/>
  <c r="M41" i="5"/>
  <c r="N41" i="5"/>
  <c r="O41" i="5"/>
  <c r="D42" i="5"/>
  <c r="E42" i="5"/>
  <c r="F42" i="5"/>
  <c r="G42" i="5"/>
  <c r="H42" i="5"/>
  <c r="I42" i="5"/>
  <c r="J42" i="5"/>
  <c r="K42" i="5"/>
  <c r="L42" i="5"/>
  <c r="M42" i="5"/>
  <c r="N42" i="5"/>
  <c r="O42" i="5"/>
  <c r="D43" i="5"/>
  <c r="E43" i="5"/>
  <c r="F43" i="5"/>
  <c r="G43" i="5"/>
  <c r="H43" i="5"/>
  <c r="I43" i="5"/>
  <c r="J43" i="5"/>
  <c r="K43" i="5"/>
  <c r="L43" i="5"/>
  <c r="M43" i="5"/>
  <c r="N43" i="5"/>
  <c r="O43" i="5"/>
  <c r="D44" i="5"/>
  <c r="E44" i="5"/>
  <c r="F44" i="5"/>
  <c r="G44" i="5"/>
  <c r="H44" i="5"/>
  <c r="I44" i="5"/>
  <c r="J44" i="5"/>
  <c r="K44" i="5"/>
  <c r="L44" i="5"/>
  <c r="M44" i="5"/>
  <c r="N44" i="5"/>
  <c r="O44" i="5"/>
  <c r="D45" i="5"/>
  <c r="E45" i="5"/>
  <c r="F45" i="5"/>
  <c r="G45" i="5"/>
  <c r="H45" i="5"/>
  <c r="I45" i="5"/>
  <c r="J45" i="5"/>
  <c r="K45" i="5"/>
  <c r="L45" i="5"/>
  <c r="M45" i="5"/>
  <c r="N45" i="5"/>
  <c r="O45" i="5"/>
  <c r="O38" i="5"/>
  <c r="N38" i="5"/>
  <c r="M38" i="5"/>
  <c r="L38" i="5"/>
  <c r="K38" i="5"/>
  <c r="J38" i="5"/>
  <c r="I38" i="5"/>
  <c r="H38" i="5"/>
  <c r="G38" i="5"/>
  <c r="F38" i="5"/>
  <c r="E38" i="5"/>
  <c r="D38" i="5"/>
  <c r="D28" i="5"/>
  <c r="E28" i="5"/>
  <c r="F28" i="5"/>
  <c r="G28" i="5"/>
  <c r="H28" i="5"/>
  <c r="I28" i="5"/>
  <c r="J28" i="5"/>
  <c r="K28" i="5"/>
  <c r="L28" i="5"/>
  <c r="M28" i="5"/>
  <c r="N28" i="5"/>
  <c r="O28" i="5"/>
  <c r="D29" i="5"/>
  <c r="E29" i="5"/>
  <c r="F29" i="5"/>
  <c r="G29" i="5"/>
  <c r="H29" i="5"/>
  <c r="I29" i="5"/>
  <c r="J29" i="5"/>
  <c r="K29" i="5"/>
  <c r="L29" i="5"/>
  <c r="M29" i="5"/>
  <c r="N29" i="5"/>
  <c r="O29" i="5"/>
  <c r="D30" i="5"/>
  <c r="E30" i="5"/>
  <c r="F30" i="5"/>
  <c r="G30" i="5"/>
  <c r="H30" i="5"/>
  <c r="I30" i="5"/>
  <c r="J30" i="5"/>
  <c r="K30" i="5"/>
  <c r="L30" i="5"/>
  <c r="M30" i="5"/>
  <c r="N30" i="5"/>
  <c r="O30" i="5"/>
  <c r="D31" i="5"/>
  <c r="E31" i="5"/>
  <c r="F31" i="5"/>
  <c r="G31" i="5"/>
  <c r="H31" i="5"/>
  <c r="I31" i="5"/>
  <c r="J31" i="5"/>
  <c r="K31" i="5"/>
  <c r="L31" i="5"/>
  <c r="M31" i="5"/>
  <c r="N31" i="5"/>
  <c r="O31" i="5"/>
  <c r="D32" i="5"/>
  <c r="E32" i="5"/>
  <c r="F32" i="5"/>
  <c r="G32" i="5"/>
  <c r="H32" i="5"/>
  <c r="I32" i="5"/>
  <c r="J32" i="5"/>
  <c r="K32" i="5"/>
  <c r="L32" i="5"/>
  <c r="M32" i="5"/>
  <c r="N32" i="5"/>
  <c r="O32" i="5"/>
  <c r="E27" i="5"/>
  <c r="F27" i="5"/>
  <c r="G27" i="5"/>
  <c r="H27" i="5"/>
  <c r="I27" i="5"/>
  <c r="J27" i="5"/>
  <c r="K27" i="5"/>
  <c r="L27" i="5"/>
  <c r="M27" i="5"/>
  <c r="N27" i="5"/>
  <c r="O27" i="5"/>
  <c r="D26" i="5"/>
  <c r="E26" i="5"/>
  <c r="F26" i="5"/>
  <c r="G26" i="5"/>
  <c r="H26" i="5"/>
  <c r="I26" i="5"/>
  <c r="J26" i="5"/>
  <c r="K26" i="5"/>
  <c r="L26" i="5"/>
  <c r="M26" i="5"/>
  <c r="N26" i="5"/>
  <c r="O26" i="5"/>
  <c r="P17" i="12"/>
  <c r="O17" i="12"/>
  <c r="N17" i="12"/>
  <c r="M17" i="12"/>
  <c r="L17" i="12"/>
  <c r="K17" i="12"/>
  <c r="J17" i="12"/>
  <c r="I17" i="12"/>
  <c r="H17" i="12"/>
  <c r="G17" i="12"/>
  <c r="F17" i="12"/>
  <c r="E17" i="12"/>
  <c r="Q13" i="12"/>
  <c r="Q12" i="12"/>
  <c r="Q11" i="12"/>
  <c r="Q10" i="12"/>
  <c r="Q9" i="12"/>
  <c r="Q8" i="12"/>
  <c r="Q7" i="12"/>
  <c r="C7" i="12"/>
  <c r="C16" i="12" s="1"/>
  <c r="Q6" i="12"/>
  <c r="P15" i="11"/>
  <c r="O15" i="11"/>
  <c r="N15" i="11"/>
  <c r="M15" i="11"/>
  <c r="L15" i="11"/>
  <c r="K15" i="11"/>
  <c r="J15" i="11"/>
  <c r="I15" i="11"/>
  <c r="H15" i="11"/>
  <c r="G15" i="11"/>
  <c r="F15" i="11"/>
  <c r="E15" i="11"/>
  <c r="Q13" i="11"/>
  <c r="Q12" i="11"/>
  <c r="Q11" i="11"/>
  <c r="Q10" i="11"/>
  <c r="Q9" i="11"/>
  <c r="Q8" i="11"/>
  <c r="Q7" i="11"/>
  <c r="C7" i="11"/>
  <c r="C14" i="11" s="1"/>
  <c r="Q6" i="11"/>
  <c r="Q17" i="12" l="1"/>
  <c r="Q15" i="11"/>
  <c r="P44" i="5"/>
  <c r="Q44" i="5" s="1"/>
  <c r="R44" i="5" s="1"/>
  <c r="P42" i="5"/>
  <c r="Q42" i="5" s="1"/>
  <c r="R42" i="5" s="1"/>
  <c r="P40" i="5"/>
  <c r="Q40" i="5" s="1"/>
  <c r="R40" i="5" s="1"/>
  <c r="P45" i="5"/>
  <c r="Q45" i="5" s="1"/>
  <c r="R45" i="5" s="1"/>
  <c r="P43" i="5"/>
  <c r="Q43" i="5" s="1"/>
  <c r="R43" i="5" s="1"/>
  <c r="P41" i="5"/>
  <c r="Q41" i="5" s="1"/>
  <c r="R41" i="5" s="1"/>
  <c r="P39" i="5"/>
  <c r="Q39" i="5" s="1"/>
  <c r="R39" i="5" s="1"/>
  <c r="P27" i="5"/>
  <c r="Q27" i="5" s="1"/>
  <c r="R27" i="5" s="1"/>
  <c r="P26" i="5"/>
  <c r="Q26" i="5" s="1"/>
  <c r="R26" i="5" s="1"/>
  <c r="P32" i="5"/>
  <c r="Q32" i="5" s="1"/>
  <c r="R32" i="5" s="1"/>
  <c r="P31" i="5"/>
  <c r="Q31" i="5" s="1"/>
  <c r="R31" i="5" s="1"/>
  <c r="P30" i="5"/>
  <c r="Q30" i="5" s="1"/>
  <c r="R30" i="5" s="1"/>
  <c r="P29" i="5"/>
  <c r="Q29" i="5" s="1"/>
  <c r="R29" i="5" s="1"/>
  <c r="P28" i="5"/>
  <c r="Q28" i="5" s="1"/>
  <c r="R28" i="5" s="1"/>
  <c r="C7" i="10" l="1"/>
  <c r="F10" i="5" l="1"/>
  <c r="H10" i="5"/>
  <c r="J10" i="5"/>
  <c r="L10" i="5"/>
  <c r="N10" i="5"/>
  <c r="D10" i="5"/>
  <c r="E10" i="5"/>
  <c r="G10" i="5"/>
  <c r="I10" i="5"/>
  <c r="K10" i="5"/>
  <c r="M10" i="5"/>
  <c r="O10" i="5"/>
  <c r="P13" i="5"/>
  <c r="Q13" i="5" s="1"/>
  <c r="R13" i="5" s="1"/>
  <c r="P12" i="5"/>
  <c r="Q12" i="5" s="1"/>
  <c r="R12" i="5" s="1"/>
  <c r="P17" i="5"/>
  <c r="Q17" i="5" s="1"/>
  <c r="R17" i="5" s="1"/>
  <c r="P15" i="5"/>
  <c r="Q15" i="5" s="1"/>
  <c r="R15" i="5" s="1"/>
  <c r="P18" i="5"/>
  <c r="Q18" i="5" s="1"/>
  <c r="R18" i="5" s="1"/>
  <c r="P16" i="5"/>
  <c r="Q16" i="5" s="1"/>
  <c r="R16" i="5" s="1"/>
  <c r="P14" i="5"/>
  <c r="Q14" i="5" s="1"/>
  <c r="R14" i="5" s="1"/>
  <c r="P11" i="5"/>
  <c r="Q11" i="5" l="1"/>
  <c r="P21" i="5"/>
  <c r="P10" i="5"/>
  <c r="Q10" i="5" s="1"/>
  <c r="R10" i="5" s="1"/>
  <c r="R11" i="5" l="1"/>
  <c r="Q21" i="5"/>
  <c r="Q6" i="9"/>
  <c r="Q7" i="9"/>
  <c r="Q8" i="9"/>
  <c r="Q9" i="9"/>
  <c r="Q10" i="9"/>
  <c r="Q11" i="9"/>
  <c r="Q12" i="9"/>
  <c r="Q13" i="9"/>
  <c r="Q5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C18" i="9"/>
  <c r="Q18" i="9" l="1"/>
  <c r="Q19" i="9"/>
  <c r="E25" i="5" l="1"/>
  <c r="F25" i="5"/>
  <c r="G25" i="5"/>
  <c r="H25" i="5"/>
  <c r="I25" i="5"/>
  <c r="J25" i="5"/>
  <c r="K25" i="5"/>
  <c r="L25" i="5"/>
  <c r="M25" i="5"/>
  <c r="N25" i="5"/>
  <c r="O25" i="5"/>
  <c r="D2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D138" i="5" l="1"/>
  <c r="E138" i="5"/>
  <c r="F138" i="5"/>
  <c r="G138" i="5"/>
  <c r="H138" i="5"/>
  <c r="I138" i="5"/>
  <c r="J138" i="5"/>
  <c r="K138" i="5"/>
  <c r="L138" i="5"/>
  <c r="M138" i="5"/>
  <c r="N138" i="5"/>
  <c r="O138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36" i="5"/>
  <c r="Q136" i="5" s="1"/>
  <c r="Q135" i="5"/>
  <c r="P143" i="5"/>
  <c r="Q143" i="5" s="1"/>
  <c r="R143" i="5" s="1"/>
  <c r="D115" i="5"/>
  <c r="E115" i="5"/>
  <c r="F115" i="5"/>
  <c r="G115" i="5"/>
  <c r="H115" i="5"/>
  <c r="I115" i="5"/>
  <c r="J115" i="5"/>
  <c r="K115" i="5"/>
  <c r="L115" i="5"/>
  <c r="M115" i="5"/>
  <c r="N115" i="5"/>
  <c r="O115" i="5"/>
  <c r="P124" i="5"/>
  <c r="P125" i="5" l="1"/>
  <c r="Q125" i="5" s="1"/>
  <c r="R125" i="5" s="1"/>
  <c r="Q124" i="5"/>
  <c r="R124" i="5" s="1"/>
  <c r="P20" i="10"/>
  <c r="O20" i="10"/>
  <c r="N20" i="10"/>
  <c r="M20" i="10"/>
  <c r="L20" i="10"/>
  <c r="K20" i="10"/>
  <c r="J20" i="10"/>
  <c r="H20" i="10"/>
  <c r="G20" i="10"/>
  <c r="F20" i="10"/>
  <c r="E20" i="10"/>
  <c r="C19" i="10"/>
  <c r="Q13" i="10"/>
  <c r="I20" i="10"/>
  <c r="Q12" i="10"/>
  <c r="Q11" i="10"/>
  <c r="Q10" i="10"/>
  <c r="Q9" i="10"/>
  <c r="Q8" i="10"/>
  <c r="Q7" i="10"/>
  <c r="Q6" i="10"/>
  <c r="E90" i="8"/>
  <c r="E91" i="8" s="1"/>
  <c r="E92" i="8" s="1"/>
  <c r="B80" i="8"/>
  <c r="E71" i="8"/>
  <c r="E72" i="8" s="1"/>
  <c r="E73" i="8" s="1"/>
  <c r="B61" i="8"/>
  <c r="B49" i="8"/>
  <c r="B51" i="8" s="1"/>
  <c r="B33" i="8"/>
  <c r="B25" i="8"/>
  <c r="B24" i="8"/>
  <c r="B26" i="8" s="1"/>
  <c r="B28" i="8" s="1"/>
  <c r="S14" i="8"/>
  <c r="R14" i="8"/>
  <c r="Q14" i="8"/>
  <c r="N14" i="8"/>
  <c r="M14" i="8"/>
  <c r="L14" i="8"/>
  <c r="K14" i="8"/>
  <c r="D12" i="8"/>
  <c r="D11" i="8"/>
  <c r="D10" i="8"/>
  <c r="W9" i="8"/>
  <c r="D9" i="8"/>
  <c r="W8" i="8"/>
  <c r="D8" i="8"/>
  <c r="W7" i="8"/>
  <c r="D6" i="8"/>
  <c r="D5" i="8"/>
  <c r="D4" i="8"/>
  <c r="D3" i="8"/>
  <c r="D2" i="8"/>
  <c r="D14" i="8" s="1"/>
  <c r="D15" i="8" s="1"/>
  <c r="F88" i="4"/>
  <c r="F87" i="4"/>
  <c r="F86" i="4"/>
  <c r="P137" i="5"/>
  <c r="F78" i="4" s="1"/>
  <c r="F74" i="4"/>
  <c r="P115" i="5"/>
  <c r="Q115" i="5" s="1"/>
  <c r="R115" i="5" s="1"/>
  <c r="F54" i="4"/>
  <c r="F51" i="4"/>
  <c r="Q99" i="5"/>
  <c r="R99" i="5" s="1"/>
  <c r="P98" i="5"/>
  <c r="Q98" i="5" s="1"/>
  <c r="R98" i="5" s="1"/>
  <c r="P97" i="5"/>
  <c r="C97" i="5" s="1"/>
  <c r="F43" i="4"/>
  <c r="P92" i="5"/>
  <c r="C92" i="5" s="1"/>
  <c r="P91" i="5"/>
  <c r="P87" i="5"/>
  <c r="C87" i="5" s="1"/>
  <c r="P86" i="5"/>
  <c r="C86" i="5" s="1"/>
  <c r="P85" i="5"/>
  <c r="C85" i="5" s="1"/>
  <c r="G80" i="6"/>
  <c r="F80" i="6"/>
  <c r="E80" i="6"/>
  <c r="P78" i="6"/>
  <c r="O78" i="6"/>
  <c r="N78" i="6"/>
  <c r="M78" i="6"/>
  <c r="L78" i="6"/>
  <c r="K78" i="6"/>
  <c r="J78" i="6"/>
  <c r="I78" i="6"/>
  <c r="H78" i="6"/>
  <c r="G78" i="6"/>
  <c r="F78" i="6"/>
  <c r="E78" i="6"/>
  <c r="Q78" i="6" s="1"/>
  <c r="P75" i="6"/>
  <c r="O75" i="6"/>
  <c r="N75" i="6"/>
  <c r="M75" i="6"/>
  <c r="L75" i="6"/>
  <c r="K75" i="6"/>
  <c r="J75" i="6"/>
  <c r="I75" i="6"/>
  <c r="H75" i="6"/>
  <c r="G75" i="6"/>
  <c r="F75" i="6"/>
  <c r="E75" i="6"/>
  <c r="J73" i="6"/>
  <c r="I73" i="6"/>
  <c r="H73" i="6"/>
  <c r="I71" i="6"/>
  <c r="Q71" i="6" s="1"/>
  <c r="P69" i="6"/>
  <c r="O69" i="6"/>
  <c r="N69" i="6"/>
  <c r="M69" i="6"/>
  <c r="L69" i="6"/>
  <c r="K69" i="6"/>
  <c r="J69" i="6"/>
  <c r="I69" i="6"/>
  <c r="H69" i="6"/>
  <c r="G69" i="6"/>
  <c r="F69" i="6"/>
  <c r="E69" i="6"/>
  <c r="P65" i="6"/>
  <c r="O65" i="6"/>
  <c r="N65" i="6"/>
  <c r="M65" i="6"/>
  <c r="L65" i="6"/>
  <c r="K65" i="6"/>
  <c r="J65" i="6"/>
  <c r="I65" i="6"/>
  <c r="H65" i="6"/>
  <c r="G65" i="6"/>
  <c r="F65" i="6"/>
  <c r="E65" i="6"/>
  <c r="P64" i="6"/>
  <c r="O64" i="6"/>
  <c r="N64" i="6"/>
  <c r="M64" i="6"/>
  <c r="L64" i="6"/>
  <c r="K64" i="6"/>
  <c r="J64" i="6"/>
  <c r="I64" i="6"/>
  <c r="H64" i="6"/>
  <c r="P60" i="6"/>
  <c r="O60" i="6"/>
  <c r="N60" i="6"/>
  <c r="M60" i="6"/>
  <c r="L60" i="6"/>
  <c r="K60" i="6"/>
  <c r="J60" i="6"/>
  <c r="I60" i="6"/>
  <c r="H60" i="6"/>
  <c r="G60" i="6"/>
  <c r="F60" i="6"/>
  <c r="E60" i="6"/>
  <c r="R58" i="6"/>
  <c r="R54" i="6"/>
  <c r="Q54" i="6"/>
  <c r="D54" i="6"/>
  <c r="R53" i="6"/>
  <c r="P53" i="6"/>
  <c r="O53" i="6"/>
  <c r="N53" i="6"/>
  <c r="M53" i="6"/>
  <c r="L53" i="6"/>
  <c r="K53" i="6"/>
  <c r="J53" i="6"/>
  <c r="I53" i="6"/>
  <c r="H53" i="6"/>
  <c r="G53" i="6"/>
  <c r="F53" i="6"/>
  <c r="E53" i="6"/>
  <c r="Q53" i="6" s="1"/>
  <c r="R52" i="6"/>
  <c r="Q52" i="6"/>
  <c r="D52" i="6"/>
  <c r="R51" i="6"/>
  <c r="P51" i="6"/>
  <c r="O51" i="6"/>
  <c r="N51" i="6"/>
  <c r="M51" i="6"/>
  <c r="L51" i="6"/>
  <c r="K51" i="6"/>
  <c r="J51" i="6"/>
  <c r="I51" i="6"/>
  <c r="H51" i="6"/>
  <c r="G51" i="6"/>
  <c r="F51" i="6"/>
  <c r="E51" i="6"/>
  <c r="Q51" i="6" s="1"/>
  <c r="R50" i="6"/>
  <c r="Q50" i="6"/>
  <c r="D50" i="6"/>
  <c r="R49" i="6"/>
  <c r="P49" i="6"/>
  <c r="O49" i="6"/>
  <c r="N49" i="6"/>
  <c r="M49" i="6"/>
  <c r="L49" i="6"/>
  <c r="K49" i="6"/>
  <c r="J49" i="6"/>
  <c r="I49" i="6"/>
  <c r="H49" i="6"/>
  <c r="G49" i="6"/>
  <c r="F49" i="6"/>
  <c r="E49" i="6"/>
  <c r="R48" i="6"/>
  <c r="Q48" i="6"/>
  <c r="D48" i="6"/>
  <c r="R47" i="6"/>
  <c r="P47" i="6"/>
  <c r="O47" i="6"/>
  <c r="N47" i="6"/>
  <c r="M47" i="6"/>
  <c r="L47" i="6"/>
  <c r="K47" i="6"/>
  <c r="J47" i="6"/>
  <c r="I47" i="6"/>
  <c r="H47" i="6"/>
  <c r="G47" i="6"/>
  <c r="F47" i="6"/>
  <c r="E47" i="6"/>
  <c r="R46" i="6"/>
  <c r="Q46" i="6"/>
  <c r="D46" i="6"/>
  <c r="R45" i="6"/>
  <c r="Q45" i="6"/>
  <c r="D45" i="6"/>
  <c r="R44" i="6"/>
  <c r="P44" i="6"/>
  <c r="O44" i="6"/>
  <c r="N44" i="6"/>
  <c r="M44" i="6"/>
  <c r="L44" i="6"/>
  <c r="K44" i="6"/>
  <c r="J44" i="6"/>
  <c r="I44" i="6"/>
  <c r="H44" i="6"/>
  <c r="G44" i="6"/>
  <c r="F44" i="6"/>
  <c r="E44" i="6"/>
  <c r="Q44" i="6" s="1"/>
  <c r="R43" i="6"/>
  <c r="Q43" i="6"/>
  <c r="R42" i="6"/>
  <c r="Q42" i="6"/>
  <c r="D42" i="6"/>
  <c r="R41" i="6"/>
  <c r="Q41" i="6"/>
  <c r="D41" i="6"/>
  <c r="R40" i="6"/>
  <c r="P40" i="6"/>
  <c r="O40" i="6"/>
  <c r="N40" i="6"/>
  <c r="M40" i="6"/>
  <c r="L40" i="6"/>
  <c r="K40" i="6"/>
  <c r="J40" i="6"/>
  <c r="I40" i="6"/>
  <c r="H40" i="6"/>
  <c r="G40" i="6"/>
  <c r="F40" i="6"/>
  <c r="E40" i="6"/>
  <c r="R39" i="6"/>
  <c r="Q39" i="6"/>
  <c r="D39" i="6"/>
  <c r="R38" i="6"/>
  <c r="Q38" i="6"/>
  <c r="D38" i="6"/>
  <c r="R37" i="6"/>
  <c r="Q37" i="6"/>
  <c r="D37" i="6"/>
  <c r="R36" i="6"/>
  <c r="Q36" i="6"/>
  <c r="R35" i="6"/>
  <c r="Q35" i="6"/>
  <c r="R34" i="6"/>
  <c r="Q34" i="6"/>
  <c r="R33" i="6"/>
  <c r="Q33" i="6"/>
  <c r="D33" i="6"/>
  <c r="R32" i="6"/>
  <c r="Q32" i="6"/>
  <c r="D32" i="6"/>
  <c r="R31" i="6"/>
  <c r="P31" i="6"/>
  <c r="O31" i="6"/>
  <c r="N31" i="6"/>
  <c r="M31" i="6"/>
  <c r="L31" i="6"/>
  <c r="K31" i="6"/>
  <c r="J31" i="6"/>
  <c r="I31" i="6"/>
  <c r="H31" i="6"/>
  <c r="G31" i="6"/>
  <c r="F31" i="6"/>
  <c r="E31" i="6"/>
  <c r="R30" i="6"/>
  <c r="Q30" i="6"/>
  <c r="D30" i="6"/>
  <c r="R29" i="6"/>
  <c r="R28" i="6"/>
  <c r="P28" i="6"/>
  <c r="O28" i="6"/>
  <c r="M28" i="6"/>
  <c r="L28" i="6"/>
  <c r="J28" i="6"/>
  <c r="I28" i="6"/>
  <c r="G28" i="6"/>
  <c r="F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R19" i="6"/>
  <c r="E19" i="6"/>
  <c r="Q19" i="6" s="1"/>
  <c r="R18" i="6"/>
  <c r="E18" i="6"/>
  <c r="Q18" i="6" s="1"/>
  <c r="R17" i="6"/>
  <c r="H17" i="6"/>
  <c r="G17" i="6"/>
  <c r="F17" i="6"/>
  <c r="E17" i="6"/>
  <c r="Q17" i="6" s="1"/>
  <c r="R16" i="6"/>
  <c r="P16" i="6"/>
  <c r="O16" i="6"/>
  <c r="N16" i="6"/>
  <c r="M16" i="6"/>
  <c r="L16" i="6"/>
  <c r="K16" i="6"/>
  <c r="J16" i="6"/>
  <c r="I16" i="6"/>
  <c r="H16" i="6"/>
  <c r="G16" i="6"/>
  <c r="F16" i="6"/>
  <c r="E16" i="6"/>
  <c r="R15" i="6"/>
  <c r="G15" i="6"/>
  <c r="F15" i="6"/>
  <c r="E15" i="6"/>
  <c r="Q12" i="6"/>
  <c r="Q8" i="6"/>
  <c r="P7" i="6"/>
  <c r="O7" i="6"/>
  <c r="N7" i="6"/>
  <c r="M7" i="6"/>
  <c r="L7" i="6"/>
  <c r="K7" i="6"/>
  <c r="J7" i="6"/>
  <c r="I7" i="6"/>
  <c r="H7" i="6"/>
  <c r="G7" i="6"/>
  <c r="F7" i="6"/>
  <c r="E7" i="6"/>
  <c r="P6" i="6"/>
  <c r="O6" i="6"/>
  <c r="N6" i="6"/>
  <c r="M6" i="6"/>
  <c r="L6" i="6"/>
  <c r="K6" i="6"/>
  <c r="J6" i="6"/>
  <c r="I6" i="6"/>
  <c r="H6" i="6"/>
  <c r="G6" i="6"/>
  <c r="F6" i="6"/>
  <c r="E6" i="6"/>
  <c r="P5" i="6"/>
  <c r="O5" i="6"/>
  <c r="N5" i="6"/>
  <c r="M5" i="6"/>
  <c r="L5" i="6"/>
  <c r="K5" i="6"/>
  <c r="J5" i="6"/>
  <c r="I5" i="6"/>
  <c r="H5" i="6"/>
  <c r="G5" i="6"/>
  <c r="F5" i="6"/>
  <c r="E5" i="6"/>
  <c r="P4" i="6"/>
  <c r="O4" i="6"/>
  <c r="N4" i="6"/>
  <c r="M4" i="6"/>
  <c r="L4" i="6"/>
  <c r="K4" i="6"/>
  <c r="J4" i="6"/>
  <c r="I4" i="6"/>
  <c r="H4" i="6"/>
  <c r="G4" i="6"/>
  <c r="F4" i="6"/>
  <c r="E4" i="6"/>
  <c r="F19" i="4"/>
  <c r="F20" i="4"/>
  <c r="F21" i="4"/>
  <c r="F22" i="4"/>
  <c r="B21" i="4"/>
  <c r="B20" i="4"/>
  <c r="B19" i="4"/>
  <c r="B15" i="4"/>
  <c r="F15" i="4"/>
  <c r="F11" i="4"/>
  <c r="Q86" i="5" l="1"/>
  <c r="R86" i="5"/>
  <c r="Q91" i="5"/>
  <c r="R91" i="5"/>
  <c r="Q85" i="5"/>
  <c r="R85" i="5"/>
  <c r="Q87" i="5"/>
  <c r="R87" i="5"/>
  <c r="Q92" i="5"/>
  <c r="R92" i="5"/>
  <c r="Q97" i="5"/>
  <c r="R97" i="5"/>
  <c r="R56" i="6"/>
  <c r="Q20" i="6"/>
  <c r="Q31" i="6"/>
  <c r="Q49" i="6"/>
  <c r="F52" i="4" s="1"/>
  <c r="Q64" i="6"/>
  <c r="Q65" i="6"/>
  <c r="Q75" i="6"/>
  <c r="C102" i="5"/>
  <c r="F86" i="5"/>
  <c r="H86" i="5"/>
  <c r="J86" i="5"/>
  <c r="L86" i="5"/>
  <c r="N86" i="5"/>
  <c r="D86" i="5"/>
  <c r="G86" i="5"/>
  <c r="I86" i="5"/>
  <c r="K86" i="5"/>
  <c r="M86" i="5"/>
  <c r="O86" i="5"/>
  <c r="E86" i="5"/>
  <c r="F41" i="4"/>
  <c r="F91" i="5"/>
  <c r="H91" i="5"/>
  <c r="J91" i="5"/>
  <c r="L91" i="5"/>
  <c r="N91" i="5"/>
  <c r="D91" i="5"/>
  <c r="G91" i="5"/>
  <c r="I91" i="5"/>
  <c r="K91" i="5"/>
  <c r="M91" i="5"/>
  <c r="O91" i="5"/>
  <c r="E91" i="5"/>
  <c r="F45" i="4"/>
  <c r="F98" i="5"/>
  <c r="H98" i="5"/>
  <c r="J98" i="5"/>
  <c r="L98" i="5"/>
  <c r="N98" i="5"/>
  <c r="D98" i="5"/>
  <c r="G98" i="5"/>
  <c r="I98" i="5"/>
  <c r="K98" i="5"/>
  <c r="O98" i="5"/>
  <c r="M98" i="5"/>
  <c r="E98" i="5"/>
  <c r="F85" i="5"/>
  <c r="H85" i="5"/>
  <c r="J85" i="5"/>
  <c r="L85" i="5"/>
  <c r="N85" i="5"/>
  <c r="E85" i="5"/>
  <c r="D85" i="5"/>
  <c r="G85" i="5"/>
  <c r="I85" i="5"/>
  <c r="K85" i="5"/>
  <c r="M85" i="5"/>
  <c r="O85" i="5"/>
  <c r="F87" i="5"/>
  <c r="H87" i="5"/>
  <c r="J87" i="5"/>
  <c r="L87" i="5"/>
  <c r="N87" i="5"/>
  <c r="E87" i="5"/>
  <c r="G87" i="5"/>
  <c r="I87" i="5"/>
  <c r="K87" i="5"/>
  <c r="M87" i="5"/>
  <c r="O87" i="5"/>
  <c r="D87" i="5"/>
  <c r="F92" i="5"/>
  <c r="H92" i="5"/>
  <c r="J92" i="5"/>
  <c r="L92" i="5"/>
  <c r="N92" i="5"/>
  <c r="E92" i="5"/>
  <c r="G92" i="5"/>
  <c r="I92" i="5"/>
  <c r="K92" i="5"/>
  <c r="M92" i="5"/>
  <c r="O92" i="5"/>
  <c r="D92" i="5"/>
  <c r="F44" i="4"/>
  <c r="F97" i="5"/>
  <c r="H97" i="5"/>
  <c r="J97" i="5"/>
  <c r="L97" i="5"/>
  <c r="N97" i="5"/>
  <c r="E97" i="5"/>
  <c r="G97" i="5"/>
  <c r="I97" i="5"/>
  <c r="K97" i="5"/>
  <c r="M97" i="5"/>
  <c r="O97" i="5"/>
  <c r="D97" i="5"/>
  <c r="F46" i="4"/>
  <c r="Q4" i="6"/>
  <c r="E10" i="6"/>
  <c r="E29" i="6" s="1"/>
  <c r="E56" i="6" s="1"/>
  <c r="G10" i="6"/>
  <c r="I10" i="6"/>
  <c r="I29" i="6" s="1"/>
  <c r="K10" i="6"/>
  <c r="K29" i="6" s="1"/>
  <c r="M10" i="6"/>
  <c r="M29" i="6" s="1"/>
  <c r="O10" i="6"/>
  <c r="O29" i="6" s="1"/>
  <c r="O56" i="6" s="1"/>
  <c r="O62" i="6" s="1"/>
  <c r="O67" i="6" s="1"/>
  <c r="O76" i="6" s="1"/>
  <c r="Q7" i="6"/>
  <c r="Q73" i="6"/>
  <c r="D125" i="5"/>
  <c r="N125" i="5"/>
  <c r="L125" i="5"/>
  <c r="J125" i="5"/>
  <c r="H125" i="5"/>
  <c r="F125" i="5"/>
  <c r="O125" i="5"/>
  <c r="M125" i="5"/>
  <c r="K125" i="5"/>
  <c r="I125" i="5"/>
  <c r="G125" i="5"/>
  <c r="G140" i="5" s="1"/>
  <c r="E125" i="5"/>
  <c r="P166" i="5"/>
  <c r="Q166" i="5" s="1"/>
  <c r="P145" i="5"/>
  <c r="Q145" i="5" s="1"/>
  <c r="R145" i="5" s="1"/>
  <c r="O37" i="5"/>
  <c r="M37" i="5"/>
  <c r="K37" i="5"/>
  <c r="I37" i="5"/>
  <c r="G37" i="5"/>
  <c r="E37" i="5"/>
  <c r="N37" i="5"/>
  <c r="L37" i="5"/>
  <c r="J37" i="5"/>
  <c r="H37" i="5"/>
  <c r="F37" i="5"/>
  <c r="D37" i="5"/>
  <c r="P38" i="5"/>
  <c r="Q38" i="5" s="1"/>
  <c r="R38" i="5" s="1"/>
  <c r="Q20" i="10"/>
  <c r="D18" i="8"/>
  <c r="D16" i="8"/>
  <c r="D19" i="8"/>
  <c r="D17" i="8"/>
  <c r="B85" i="8"/>
  <c r="B87" i="8" s="1"/>
  <c r="D54" i="8"/>
  <c r="U10" i="8" s="1"/>
  <c r="U14" i="8" s="1"/>
  <c r="D53" i="8"/>
  <c r="O10" i="8" s="1"/>
  <c r="B62" i="8"/>
  <c r="B63" i="8" s="1"/>
  <c r="B64" i="8" s="1"/>
  <c r="B65" i="8" s="1"/>
  <c r="B81" i="8"/>
  <c r="B82" i="8" s="1"/>
  <c r="B83" i="8" s="1"/>
  <c r="B84" i="8" s="1"/>
  <c r="F70" i="4"/>
  <c r="P138" i="5"/>
  <c r="P140" i="5" s="1"/>
  <c r="F59" i="4"/>
  <c r="G29" i="6"/>
  <c r="G56" i="6" s="1"/>
  <c r="G62" i="6" s="1"/>
  <c r="G67" i="6" s="1"/>
  <c r="G76" i="6" s="1"/>
  <c r="G81" i="6" s="1"/>
  <c r="H80" i="6" s="1"/>
  <c r="Q5" i="6"/>
  <c r="F10" i="6"/>
  <c r="H10" i="6"/>
  <c r="J10" i="6"/>
  <c r="L10" i="6"/>
  <c r="N10" i="6"/>
  <c r="P10" i="6"/>
  <c r="Q6" i="6"/>
  <c r="Q15" i="6"/>
  <c r="Q16" i="6"/>
  <c r="Q28" i="6"/>
  <c r="Q40" i="6"/>
  <c r="F42" i="4" s="1"/>
  <c r="Q47" i="6"/>
  <c r="Q60" i="6"/>
  <c r="Q69" i="6"/>
  <c r="K140" i="5" l="1"/>
  <c r="K186" i="5" s="1"/>
  <c r="O140" i="5"/>
  <c r="O186" i="5" s="1"/>
  <c r="H140" i="5"/>
  <c r="H186" i="5" s="1"/>
  <c r="L140" i="5"/>
  <c r="L186" i="5" s="1"/>
  <c r="D140" i="5"/>
  <c r="D186" i="5" s="1"/>
  <c r="E140" i="5"/>
  <c r="E186" i="5" s="1"/>
  <c r="I140" i="5"/>
  <c r="I186" i="5" s="1"/>
  <c r="M140" i="5"/>
  <c r="M186" i="5" s="1"/>
  <c r="F140" i="5"/>
  <c r="F186" i="5" s="1"/>
  <c r="J140" i="5"/>
  <c r="J186" i="5" s="1"/>
  <c r="N140" i="5"/>
  <c r="N186" i="5" s="1"/>
  <c r="Q140" i="5"/>
  <c r="R140" i="5" s="1"/>
  <c r="Q138" i="5"/>
  <c r="E62" i="6"/>
  <c r="E67" i="6" s="1"/>
  <c r="G186" i="5"/>
  <c r="M56" i="6"/>
  <c r="M62" i="6" s="1"/>
  <c r="M67" i="6" s="1"/>
  <c r="M76" i="6" s="1"/>
  <c r="M58" i="6"/>
  <c r="I56" i="6"/>
  <c r="I62" i="6" s="1"/>
  <c r="I67" i="6" s="1"/>
  <c r="I76" i="6" s="1"/>
  <c r="I58" i="6"/>
  <c r="O58" i="6"/>
  <c r="K58" i="6"/>
  <c r="G58" i="6"/>
  <c r="I105" i="5"/>
  <c r="M105" i="5"/>
  <c r="F105" i="5"/>
  <c r="N105" i="5"/>
  <c r="D105" i="5"/>
  <c r="E105" i="5"/>
  <c r="K56" i="6"/>
  <c r="K62" i="6" s="1"/>
  <c r="K67" i="6" s="1"/>
  <c r="K76" i="6" s="1"/>
  <c r="E58" i="6"/>
  <c r="G105" i="5"/>
  <c r="K105" i="5"/>
  <c r="O105" i="5"/>
  <c r="J105" i="5"/>
  <c r="H105" i="5"/>
  <c r="L105" i="5"/>
  <c r="F50" i="5"/>
  <c r="J50" i="5"/>
  <c r="N50" i="5"/>
  <c r="E50" i="5"/>
  <c r="I50" i="5"/>
  <c r="M50" i="5"/>
  <c r="D50" i="5"/>
  <c r="H50" i="5"/>
  <c r="L50" i="5"/>
  <c r="G50" i="5"/>
  <c r="K50" i="5"/>
  <c r="O50" i="5"/>
  <c r="F28" i="4"/>
  <c r="P25" i="5"/>
  <c r="R21" i="5"/>
  <c r="P37" i="5"/>
  <c r="D89" i="8"/>
  <c r="D92" i="8"/>
  <c r="D91" i="8"/>
  <c r="D90" i="8"/>
  <c r="O14" i="8"/>
  <c r="W10" i="8"/>
  <c r="B66" i="8"/>
  <c r="B68" i="8" s="1"/>
  <c r="P29" i="6"/>
  <c r="L29" i="6"/>
  <c r="H29" i="6"/>
  <c r="N29" i="6"/>
  <c r="J29" i="6"/>
  <c r="F29" i="6"/>
  <c r="Q10" i="6"/>
  <c r="P186" i="5" l="1"/>
  <c r="Q186" i="5" s="1"/>
  <c r="R186" i="5" s="1"/>
  <c r="F16" i="4"/>
  <c r="Q25" i="5"/>
  <c r="R25" i="5" s="1"/>
  <c r="F18" i="4"/>
  <c r="Q37" i="5"/>
  <c r="R37" i="5" s="1"/>
  <c r="F10" i="4"/>
  <c r="Q29" i="6"/>
  <c r="P50" i="5"/>
  <c r="F17" i="4"/>
  <c r="D70" i="8"/>
  <c r="P11" i="8" s="1"/>
  <c r="D73" i="8"/>
  <c r="V12" i="8" s="1"/>
  <c r="W12" i="8" s="1"/>
  <c r="D72" i="8"/>
  <c r="V11" i="8" s="1"/>
  <c r="V14" i="8" s="1"/>
  <c r="D71" i="8"/>
  <c r="T11" i="8" s="1"/>
  <c r="T14" i="8" s="1"/>
  <c r="F56" i="6"/>
  <c r="F58" i="6"/>
  <c r="J58" i="6"/>
  <c r="J56" i="6"/>
  <c r="J62" i="6" s="1"/>
  <c r="J67" i="6" s="1"/>
  <c r="J76" i="6" s="1"/>
  <c r="N56" i="6"/>
  <c r="N62" i="6" s="1"/>
  <c r="N67" i="6" s="1"/>
  <c r="N76" i="6" s="1"/>
  <c r="N58" i="6"/>
  <c r="E76" i="6"/>
  <c r="H58" i="6"/>
  <c r="H56" i="6"/>
  <c r="H62" i="6" s="1"/>
  <c r="H67" i="6" s="1"/>
  <c r="H76" i="6" s="1"/>
  <c r="H81" i="6" s="1"/>
  <c r="I80" i="6" s="1"/>
  <c r="I81" i="6" s="1"/>
  <c r="J80" i="6" s="1"/>
  <c r="L58" i="6"/>
  <c r="L56" i="6"/>
  <c r="L62" i="6" s="1"/>
  <c r="L67" i="6" s="1"/>
  <c r="L76" i="6" s="1"/>
  <c r="P58" i="6"/>
  <c r="P56" i="6"/>
  <c r="P62" i="6" s="1"/>
  <c r="P67" i="6" s="1"/>
  <c r="P76" i="6" s="1"/>
  <c r="F23" i="4" l="1"/>
  <c r="Q50" i="5"/>
  <c r="R50" i="5" s="1"/>
  <c r="P14" i="8"/>
  <c r="W11" i="8"/>
  <c r="W14" i="8" s="1"/>
  <c r="J81" i="6"/>
  <c r="K80" i="6" s="1"/>
  <c r="K81" i="6" s="1"/>
  <c r="L80" i="6" s="1"/>
  <c r="L81" i="6" s="1"/>
  <c r="M80" i="6" s="1"/>
  <c r="M81" i="6" s="1"/>
  <c r="N80" i="6" s="1"/>
  <c r="N81" i="6" s="1"/>
  <c r="O80" i="6" s="1"/>
  <c r="O81" i="6" s="1"/>
  <c r="P80" i="6" s="1"/>
  <c r="P81" i="6" s="1"/>
  <c r="P85" i="6" s="1"/>
  <c r="Q58" i="6"/>
  <c r="F62" i="6"/>
  <c r="Q56" i="6"/>
  <c r="F67" i="6" l="1"/>
  <c r="Q62" i="6"/>
  <c r="F76" i="6" l="1"/>
  <c r="Q76" i="6" s="1"/>
  <c r="Q67" i="6"/>
  <c r="H58" i="5" l="1"/>
  <c r="H60" i="5" s="1"/>
  <c r="H80" i="5" s="1"/>
  <c r="G58" i="5"/>
  <c r="G60" i="5" s="1"/>
  <c r="G80" i="5" s="1"/>
  <c r="N58" i="5"/>
  <c r="N60" i="5" s="1"/>
  <c r="N80" i="5" s="1"/>
  <c r="P58" i="5"/>
  <c r="M58" i="5"/>
  <c r="M60" i="5" s="1"/>
  <c r="M80" i="5" s="1"/>
  <c r="O58" i="5"/>
  <c r="O60" i="5" s="1"/>
  <c r="O80" i="5" s="1"/>
  <c r="E58" i="5"/>
  <c r="E60" i="5" s="1"/>
  <c r="E80" i="5" s="1"/>
  <c r="L58" i="5"/>
  <c r="L60" i="5" s="1"/>
  <c r="L80" i="5" s="1"/>
  <c r="K58" i="5"/>
  <c r="K60" i="5" s="1"/>
  <c r="K80" i="5" s="1"/>
  <c r="I58" i="5"/>
  <c r="I60" i="5" s="1"/>
  <c r="I80" i="5" s="1"/>
  <c r="J58" i="5"/>
  <c r="J60" i="5" s="1"/>
  <c r="J80" i="5" s="1"/>
  <c r="D58" i="5"/>
  <c r="D60" i="5" s="1"/>
  <c r="D80" i="5" s="1"/>
  <c r="F58" i="5"/>
  <c r="F60" i="5" s="1"/>
  <c r="F80" i="5" s="1"/>
  <c r="J71" i="5"/>
  <c r="O71" i="5"/>
  <c r="E71" i="5"/>
  <c r="L71" i="5"/>
  <c r="F71" i="5"/>
  <c r="H71" i="5"/>
  <c r="G71" i="5"/>
  <c r="N71" i="5"/>
  <c r="K71" i="5"/>
  <c r="I71" i="5"/>
  <c r="M71" i="5"/>
  <c r="F29" i="4"/>
  <c r="F30" i="4"/>
  <c r="F32" i="4"/>
  <c r="F33" i="4"/>
  <c r="D71" i="5"/>
  <c r="P80" i="5" l="1"/>
  <c r="Q80" i="5" s="1"/>
  <c r="R80" i="5" s="1"/>
  <c r="P60" i="5"/>
  <c r="Q60" i="5" s="1"/>
  <c r="R60" i="5" s="1"/>
  <c r="Q58" i="5"/>
  <c r="F31" i="4"/>
  <c r="Q77" i="5"/>
  <c r="R77" i="5" s="1"/>
  <c r="P89" i="5"/>
  <c r="Q89" i="5" s="1"/>
  <c r="R89" i="5" s="1"/>
  <c r="F40" i="4" l="1"/>
  <c r="D102" i="5"/>
  <c r="O102" i="5"/>
  <c r="L102" i="5"/>
  <c r="M102" i="5"/>
  <c r="E102" i="5"/>
  <c r="J102" i="5"/>
  <c r="G102" i="5"/>
  <c r="H102" i="5"/>
  <c r="I102" i="5"/>
  <c r="N102" i="5"/>
  <c r="K102" i="5"/>
  <c r="P100" i="5"/>
  <c r="F102" i="5"/>
  <c r="P102" i="5" l="1"/>
  <c r="Q102" i="5" s="1"/>
  <c r="R102" i="5" s="1"/>
  <c r="Q100" i="5"/>
  <c r="M108" i="5" l="1"/>
  <c r="M111" i="5" s="1"/>
  <c r="J108" i="5"/>
  <c r="J111" i="5" s="1"/>
  <c r="K108" i="5"/>
  <c r="K111" i="5" s="1"/>
  <c r="G108" i="5"/>
  <c r="G111" i="5" s="1"/>
  <c r="H108" i="5"/>
  <c r="H111" i="5" s="1"/>
  <c r="L108" i="5"/>
  <c r="L111" i="5" s="1"/>
  <c r="N108" i="5"/>
  <c r="N111" i="5" s="1"/>
  <c r="I108" i="5"/>
  <c r="I111" i="5" s="1"/>
  <c r="E108" i="5"/>
  <c r="E111" i="5" s="1"/>
  <c r="O108" i="5"/>
  <c r="O111" i="5" s="1"/>
  <c r="F108" i="5"/>
  <c r="F111" i="5" s="1"/>
  <c r="C108" i="5"/>
  <c r="D108" i="5"/>
  <c r="Q108" i="5" l="1"/>
  <c r="R108" i="5"/>
  <c r="C111" i="5"/>
  <c r="F53" i="4"/>
  <c r="C118" i="5" l="1"/>
  <c r="C121" i="5" l="1"/>
  <c r="C188" i="5" l="1"/>
  <c r="Q72" i="5" l="1"/>
  <c r="R72" i="5"/>
  <c r="D81" i="5"/>
  <c r="O81" i="5" l="1"/>
  <c r="O118" i="5" s="1"/>
  <c r="O121" i="5" s="1"/>
  <c r="O188" i="5" s="1"/>
  <c r="O207" i="5" s="1"/>
  <c r="K81" i="5"/>
  <c r="K118" i="5" s="1"/>
  <c r="K121" i="5" s="1"/>
  <c r="K188" i="5" s="1"/>
  <c r="K207" i="5" s="1"/>
  <c r="N81" i="5"/>
  <c r="N118" i="5" s="1"/>
  <c r="N121" i="5" s="1"/>
  <c r="N188" i="5" s="1"/>
  <c r="N207" i="5" s="1"/>
  <c r="F81" i="5"/>
  <c r="F118" i="5" s="1"/>
  <c r="F121" i="5" s="1"/>
  <c r="F188" i="5" s="1"/>
  <c r="F207" i="5" s="1"/>
  <c r="G81" i="5"/>
  <c r="G118" i="5" s="1"/>
  <c r="G121" i="5" s="1"/>
  <c r="G188" i="5" s="1"/>
  <c r="G207" i="5" s="1"/>
  <c r="I81" i="5"/>
  <c r="I118" i="5" s="1"/>
  <c r="I121" i="5" s="1"/>
  <c r="I188" i="5" s="1"/>
  <c r="I207" i="5" s="1"/>
  <c r="M81" i="5"/>
  <c r="M118" i="5" s="1"/>
  <c r="M121" i="5" s="1"/>
  <c r="M188" i="5" s="1"/>
  <c r="M207" i="5" s="1"/>
  <c r="H81" i="5"/>
  <c r="H118" i="5" s="1"/>
  <c r="H121" i="5" s="1"/>
  <c r="H188" i="5" s="1"/>
  <c r="H207" i="5" s="1"/>
  <c r="E81" i="5"/>
  <c r="E118" i="5" s="1"/>
  <c r="E121" i="5" s="1"/>
  <c r="E188" i="5" s="1"/>
  <c r="J81" i="5"/>
  <c r="J118" i="5" s="1"/>
  <c r="J121" i="5" s="1"/>
  <c r="J188" i="5" s="1"/>
  <c r="J207" i="5" s="1"/>
  <c r="P72" i="5"/>
  <c r="P81" i="5" s="1"/>
  <c r="L81" i="5"/>
  <c r="L118" i="5" s="1"/>
  <c r="L121" i="5" s="1"/>
  <c r="L188" i="5" s="1"/>
  <c r="L207" i="5" s="1"/>
  <c r="Q81" i="5" l="1"/>
  <c r="R81" i="5" s="1"/>
  <c r="E207" i="5"/>
  <c r="Q109" i="5"/>
  <c r="R109" i="5" s="1"/>
  <c r="D111" i="5"/>
  <c r="D118" i="5" s="1"/>
  <c r="D121" i="5" s="1"/>
  <c r="D188" i="5" s="1"/>
  <c r="P111" i="5"/>
  <c r="Q111" i="5" s="1"/>
  <c r="R111" i="5" s="1"/>
  <c r="D207" i="5" l="1"/>
  <c r="D191" i="5"/>
  <c r="E190" i="5" s="1"/>
  <c r="E191" i="5" s="1"/>
  <c r="F190" i="5" s="1"/>
  <c r="F191" i="5" s="1"/>
  <c r="G190" i="5" s="1"/>
  <c r="G191" i="5" s="1"/>
  <c r="H190" i="5" s="1"/>
  <c r="H191" i="5" s="1"/>
  <c r="I190" i="5" s="1"/>
  <c r="I191" i="5" s="1"/>
  <c r="J190" i="5" s="1"/>
  <c r="J191" i="5" s="1"/>
  <c r="K190" i="5" s="1"/>
  <c r="K191" i="5" s="1"/>
  <c r="L190" i="5" s="1"/>
  <c r="L191" i="5" s="1"/>
  <c r="M190" i="5" s="1"/>
  <c r="M191" i="5" s="1"/>
  <c r="N190" i="5" s="1"/>
  <c r="N191" i="5" s="1"/>
  <c r="O190" i="5" s="1"/>
  <c r="O191" i="5" s="1"/>
  <c r="P118" i="5"/>
  <c r="Q118" i="5" l="1"/>
  <c r="R118" i="5" s="1"/>
  <c r="P121" i="5"/>
  <c r="Q121" i="5" l="1"/>
  <c r="R121" i="5" s="1"/>
  <c r="P188" i="5"/>
  <c r="P207" i="5" l="1"/>
  <c r="Q188" i="5"/>
  <c r="R188" i="5" s="1"/>
</calcChain>
</file>

<file path=xl/sharedStrings.xml><?xml version="1.0" encoding="utf-8"?>
<sst xmlns="http://schemas.openxmlformats.org/spreadsheetml/2006/main" count="977" uniqueCount="530">
  <si>
    <t>Variance</t>
  </si>
  <si>
    <t>4000-0000</t>
  </si>
  <si>
    <t>    INCOME</t>
  </si>
  <si>
    <t>4100-0000</t>
  </si>
  <si>
    <t> RENT INCOME</t>
  </si>
  <si>
    <t>4500-0000</t>
  </si>
  <si>
    <t> RENTAL INCOME</t>
  </si>
  <si>
    <t>4705-0000</t>
  </si>
  <si>
    <t> TENANT IMPROVEMENT</t>
  </si>
  <si>
    <t>4990-0000</t>
  </si>
  <si>
    <t>  TOTAL RENT INCOME</t>
  </si>
  <si>
    <t>5100-0000</t>
  </si>
  <si>
    <t> EXPENSE REIMB.-TENANT</t>
  </si>
  <si>
    <t>5135-0000</t>
  </si>
  <si>
    <t> REIMB. - UTILITIES</t>
  </si>
  <si>
    <t>5200-0000</t>
  </si>
  <si>
    <t> CAM ESTIMATE</t>
  </si>
  <si>
    <t>5210-0000</t>
  </si>
  <si>
    <t> INSURANCE ESTIMATE</t>
  </si>
  <si>
    <t>5220-0000</t>
  </si>
  <si>
    <t> TAXES ESTIMATE</t>
  </si>
  <si>
    <t>5300-0000</t>
  </si>
  <si>
    <t> CAM RECOVERY</t>
  </si>
  <si>
    <t>5310-0000</t>
  </si>
  <si>
    <t> INSURANCE RECOVERY</t>
  </si>
  <si>
    <t>5320-0000</t>
  </si>
  <si>
    <t> TAX RECOVERY</t>
  </si>
  <si>
    <t>5455-0000</t>
  </si>
  <si>
    <t> LATE FEES</t>
  </si>
  <si>
    <t>5490-0000</t>
  </si>
  <si>
    <t>    TOTAL EXPENSE REIMB.-TENANT</t>
  </si>
  <si>
    <t>5600-0000</t>
  </si>
  <si>
    <t>    OTHER INCOME</t>
  </si>
  <si>
    <t>5630-0000</t>
  </si>
  <si>
    <t> INCOME - OTHERS</t>
  </si>
  <si>
    <t>5700-0000</t>
  </si>
  <si>
    <t> INTEREST INCOME- BANK DEPOSIT</t>
  </si>
  <si>
    <t>5890-0000</t>
  </si>
  <si>
    <t>  TOTAL OTHER INCOME</t>
  </si>
  <si>
    <t>5990-0000</t>
  </si>
  <si>
    <t> TOTAL INCOME</t>
  </si>
  <si>
    <t>6000-0000</t>
  </si>
  <si>
    <t>    EXPENSES</t>
  </si>
  <si>
    <t>6200-0000</t>
  </si>
  <si>
    <t> CAM - EXPENSES</t>
  </si>
  <si>
    <t>6215-0000</t>
  </si>
  <si>
    <t> CAM-CLEANING MAINTENANCE</t>
  </si>
  <si>
    <t>6220-0000</t>
  </si>
  <si>
    <t> CAM-PARKING LOT MAINTENANCE</t>
  </si>
  <si>
    <t>6240-0000</t>
  </si>
  <si>
    <t> CAM - SNOW REMOVAL</t>
  </si>
  <si>
    <t>6265-0000</t>
  </si>
  <si>
    <t> CAM-SPRINKLER &amp; ALARM</t>
  </si>
  <si>
    <t>6270-0000</t>
  </si>
  <si>
    <t> CAM - INSURANCE</t>
  </si>
  <si>
    <t>6275-0000</t>
  </si>
  <si>
    <t> CAM - ELECTRICITY</t>
  </si>
  <si>
    <t>6285-0000</t>
  </si>
  <si>
    <t> CAM - WATER &amp; SEWER</t>
  </si>
  <si>
    <t>6291-0000</t>
  </si>
  <si>
    <t>TOTAL CAM - EXPENSES</t>
  </si>
  <si>
    <t>6292-0000</t>
  </si>
  <si>
    <t>DIRECT EXPENSE</t>
  </si>
  <si>
    <t>6425-0000</t>
  </si>
  <si>
    <t> REPAIRS - EXTERIORS</t>
  </si>
  <si>
    <t>6445-0000</t>
  </si>
  <si>
    <t> RUBBISH REMOVAL, Recycling</t>
  </si>
  <si>
    <t>6465-0000</t>
  </si>
  <si>
    <t> LANDSCAPING &amp; Parking Lot</t>
  </si>
  <si>
    <t>6475-0000</t>
  </si>
  <si>
    <t> INSURANCE -others</t>
  </si>
  <si>
    <t>6500-0000</t>
  </si>
  <si>
    <t> TAXES - REAL ESTATE</t>
  </si>
  <si>
    <t>6505-0000</t>
  </si>
  <si>
    <t> TAXES - VAULT,OTHERS</t>
  </si>
  <si>
    <t>6520-0000</t>
  </si>
  <si>
    <t> LICENSES &amp; PERMITS</t>
  </si>
  <si>
    <t>6545-0000</t>
  </si>
  <si>
    <t> WATER &amp; SEWER</t>
  </si>
  <si>
    <t>6555-0000</t>
  </si>
  <si>
    <t> MESSENGER &amp; DELIVERY</t>
  </si>
  <si>
    <t>6560-0000</t>
  </si>
  <si>
    <t> AUTO &amp; LOCAL FARE</t>
  </si>
  <si>
    <t>6562-0000</t>
  </si>
  <si>
    <t> CAR INSURANCE</t>
  </si>
  <si>
    <t>6605-0000</t>
  </si>
  <si>
    <t> PROFESSIONAL FEES-CONSULTANT</t>
  </si>
  <si>
    <t>6610-0000</t>
  </si>
  <si>
    <t> PROFESSIONAL FEES- LEGAL</t>
  </si>
  <si>
    <t>6615-0000</t>
  </si>
  <si>
    <t> PROFESSIONAL FEES- ACCTG.</t>
  </si>
  <si>
    <t>6625-0000</t>
  </si>
  <si>
    <t> BROKER'S COMMISSION</t>
  </si>
  <si>
    <t>6990-0000</t>
  </si>
  <si>
    <t>  TOTAL DIRECT EXPENSES</t>
  </si>
  <si>
    <t>7000-0000</t>
  </si>
  <si>
    <t> OFFICE &amp; MGMT EXPENSES</t>
  </si>
  <si>
    <t>7200-0000</t>
  </si>
  <si>
    <t> OFFICE- CAR INSURANCE</t>
  </si>
  <si>
    <t>7215-0000</t>
  </si>
  <si>
    <t> OFFICE-COMPUTER EXPENSES</t>
  </si>
  <si>
    <t>7405-0000</t>
  </si>
  <si>
    <t> OFFICE-CHARITABLE DONATIONS</t>
  </si>
  <si>
    <t>7425-0000</t>
  </si>
  <si>
    <t> OFFICE-POSTAGE</t>
  </si>
  <si>
    <t>7990-0000</t>
  </si>
  <si>
    <t> TOTAL OFFICE &amp; MGMT EXPENSES</t>
  </si>
  <si>
    <t>8500-0000</t>
  </si>
  <si>
    <t> INTEREST EXPENSE</t>
  </si>
  <si>
    <t>8505-0000</t>
  </si>
  <si>
    <t> INTEREST EXPENSE-MTGE #1</t>
  </si>
  <si>
    <t>8590-0000</t>
  </si>
  <si>
    <t>  TOTAL INTEREST EXPENSE</t>
  </si>
  <si>
    <t>8990-0000</t>
  </si>
  <si>
    <t> TOTAL EXPENSES</t>
  </si>
  <si>
    <t>9090-0000</t>
  </si>
  <si>
    <t>  NET INCOME</t>
  </si>
  <si>
    <t>    ADJUSTMENTS</t>
  </si>
  <si>
    <t>1145-0000</t>
  </si>
  <si>
    <t> ESCROW - R.E. TAX</t>
  </si>
  <si>
    <t>1190-0000</t>
  </si>
  <si>
    <t>  TOTAL CASH</t>
  </si>
  <si>
    <t>1191-0000</t>
  </si>
  <si>
    <t>RECEIVABLES</t>
  </si>
  <si>
    <t>1301-0000</t>
  </si>
  <si>
    <t> TENANT RENT RECEIVABLE</t>
  </si>
  <si>
    <t>1375-0000</t>
  </si>
  <si>
    <t> PREPAID TAXES</t>
  </si>
  <si>
    <t>1391-0000</t>
  </si>
  <si>
    <t>TOTAL RECEIVABLES</t>
  </si>
  <si>
    <t>1600-0000</t>
  </si>
  <si>
    <t>   PROPERTY</t>
  </si>
  <si>
    <t>1720-0000</t>
  </si>
  <si>
    <t> BUILDING IMPROVEMENT</t>
  </si>
  <si>
    <t>1800-0000</t>
  </si>
  <si>
    <t> DEFERRED COMM EXPENSE</t>
  </si>
  <si>
    <t>1890-0000</t>
  </si>
  <si>
    <t>  TOTAL PROPERTY</t>
  </si>
  <si>
    <t>1990-0000</t>
  </si>
  <si>
    <t> TOTAL ASSETS</t>
  </si>
  <si>
    <t>2010-0000</t>
  </si>
  <si>
    <t> LIABILITIES</t>
  </si>
  <si>
    <t>2200-0000</t>
  </si>
  <si>
    <t> ACCOUNTS PAYABLE - TRADE</t>
  </si>
  <si>
    <t>2220-0000</t>
  </si>
  <si>
    <t> PREPAID RENT</t>
  </si>
  <si>
    <t>2999-0000</t>
  </si>
  <si>
    <t>TOTAL LIABILITIES</t>
  </si>
  <si>
    <t>3005-0000</t>
  </si>
  <si>
    <t> CAPITAL-OWNER</t>
  </si>
  <si>
    <t>3117-0000</t>
  </si>
  <si>
    <t>3119-0000</t>
  </si>
  <si>
    <t>3120-0000</t>
  </si>
  <si>
    <t>3399-0001</t>
  </si>
  <si>
    <t> TOTAL OWNER CAPITAL</t>
  </si>
  <si>
    <t>3399-0005</t>
  </si>
  <si>
    <t> OWNERS DRAWING</t>
  </si>
  <si>
    <t>3417-0000</t>
  </si>
  <si>
    <t>3800-0000</t>
  </si>
  <si>
    <t> TOTAL OWNER DRAWING</t>
  </si>
  <si>
    <t>    TOTAL ADJUSTMENTS</t>
  </si>
  <si>
    <t>    CASH FLOW</t>
  </si>
  <si>
    <t>JS RUTHERFORD LLC (rut)</t>
  </si>
  <si>
    <t>Difference</t>
  </si>
  <si>
    <t>Total Cash</t>
  </si>
  <si>
    <t>Total</t>
  </si>
  <si>
    <t>CAM - LANDSCAPING</t>
  </si>
  <si>
    <t>CAM - BUILDING SUPPLIES</t>
  </si>
  <si>
    <t>CAM - INSURANCE</t>
  </si>
  <si>
    <t>CAM - ELECTRICITY</t>
  </si>
  <si>
    <t>CAM - WATER &amp; SEWER</t>
  </si>
  <si>
    <t>MESSENGER &amp; DELIVERY</t>
  </si>
  <si>
    <t>PROFESSIONAL FEES - CONSULTANT</t>
  </si>
  <si>
    <t>ESCROW - OTHERS</t>
  </si>
  <si>
    <t>1155-0000</t>
  </si>
  <si>
    <t>CASH - OTHERS</t>
  </si>
  <si>
    <t>1136-0000</t>
  </si>
  <si>
    <t>CASH - CERTIFICATE OF DEPOSIT</t>
  </si>
  <si>
    <t>1130-0000</t>
  </si>
  <si>
    <t>CASH - MONEY MARKET</t>
  </si>
  <si>
    <t>1125-0000</t>
  </si>
  <si>
    <t>CASH - CHECKING #1</t>
  </si>
  <si>
    <t>1120-0000</t>
  </si>
  <si>
    <t>Ending Balance</t>
  </si>
  <si>
    <t>Beginning Balance</t>
  </si>
  <si>
    <t>Year to Date</t>
  </si>
  <si>
    <t>Period to Date</t>
  </si>
  <si>
    <t> TENANT SECURITY PAYABLE</t>
  </si>
  <si>
    <t>2250-0000</t>
  </si>
  <si>
    <t> ELECTRICITY</t>
  </si>
  <si>
    <t>6535-0000</t>
  </si>
  <si>
    <t> CAM - BUILDING SUPPLIES</t>
  </si>
  <si>
    <t>6255-0000</t>
  </si>
  <si>
    <t> CAM - LANDSCAPING</t>
  </si>
  <si>
    <t>6211-0000</t>
  </si>
  <si>
    <t>BUDGET TEMPLATE EXAMPLE</t>
  </si>
  <si>
    <t>ACTUAL JAN-MAR 2016</t>
  </si>
  <si>
    <t>2016 PROJECTED BUDGET</t>
  </si>
  <si>
    <t>2015 ACTUAL</t>
  </si>
  <si>
    <t>2015 BUDGET</t>
  </si>
  <si>
    <t>2016 OPERATING BUDGET - RUTHERFORD</t>
  </si>
  <si>
    <t>Base</t>
  </si>
  <si>
    <t>Total 2016</t>
  </si>
  <si>
    <t>Comments</t>
  </si>
  <si>
    <t>Total Base Rent</t>
  </si>
  <si>
    <t>RUT</t>
  </si>
  <si>
    <t>Total CAM Revenue</t>
  </si>
  <si>
    <t>Total RETAX Revenue</t>
  </si>
  <si>
    <t>Total Insurance Revenue</t>
  </si>
  <si>
    <t>Total Other Extra Revenue</t>
  </si>
  <si>
    <t>5230-0000</t>
  </si>
  <si>
    <t>Total Tenant Revenue</t>
  </si>
  <si>
    <t>Release of funds</t>
  </si>
  <si>
    <t>Category of Expense</t>
  </si>
  <si>
    <t>Property</t>
  </si>
  <si>
    <t>Account Code</t>
  </si>
  <si>
    <t>CAM - CLEANING</t>
  </si>
  <si>
    <t>CAM - PARKING LOT</t>
  </si>
  <si>
    <t>CAM - EXTERMINATION</t>
  </si>
  <si>
    <t>6225-0000</t>
  </si>
  <si>
    <t>CAM - ELEVATOR REPAIR</t>
  </si>
  <si>
    <t>6233-0000</t>
  </si>
  <si>
    <t>CAM - REPAIRS</t>
  </si>
  <si>
    <t>6235-0000</t>
  </si>
  <si>
    <t>CAM - SNOW</t>
  </si>
  <si>
    <t>CAM - RUBBISH</t>
  </si>
  <si>
    <t>6245-0000</t>
  </si>
  <si>
    <t>CAM - LICENCES &amp; PERMITS</t>
  </si>
  <si>
    <t>6250-0000</t>
  </si>
  <si>
    <t>CAM - ALARM &amp; SPRINKLER</t>
  </si>
  <si>
    <t>CAM - MANAGEMENT FEES</t>
  </si>
  <si>
    <t>6290-0000</t>
  </si>
  <si>
    <t>PLUMBING MAINTENANCE</t>
  </si>
  <si>
    <t>6400-0000</t>
  </si>
  <si>
    <t>REPAIRS - EXTERIORS</t>
  </si>
  <si>
    <t>REPAIRS HVAC, BOILER &amp; EQUIPMENT</t>
  </si>
  <si>
    <t>6430-0000</t>
  </si>
  <si>
    <t>SECURITY SERVICES - OUTSIDE</t>
  </si>
  <si>
    <t>6450-0000</t>
  </si>
  <si>
    <t>TAXES - REAL ESTATE</t>
  </si>
  <si>
    <t>TAXES - OTHER</t>
  </si>
  <si>
    <t>LICENCES &amp; PERMITS</t>
  </si>
  <si>
    <t>FINES &amp; VIOLATIONS</t>
  </si>
  <si>
    <t>6525-0000</t>
  </si>
  <si>
    <t>ADTERTISING EXPENSES</t>
  </si>
  <si>
    <t>6530-0000</t>
  </si>
  <si>
    <t>TELEPHONE</t>
  </si>
  <si>
    <t>6550-0000</t>
  </si>
  <si>
    <t>BANK CHARGES</t>
  </si>
  <si>
    <t>6565-0000</t>
  </si>
  <si>
    <t>PROFESSIONAL &amp; LEGAL FEES</t>
  </si>
  <si>
    <t>PROFESSIONAL ACCOUNTING FEES</t>
  </si>
  <si>
    <t>BROKERS COMMISSION</t>
  </si>
  <si>
    <t>CHARITABLE</t>
  </si>
  <si>
    <t>6630-0000</t>
  </si>
  <si>
    <t>OFFICE AUTO &amp; LOCAL FARE</t>
  </si>
  <si>
    <t>7120-0000</t>
  </si>
  <si>
    <t>OFFICE CAR INSURANCE</t>
  </si>
  <si>
    <t>OFFICE COMPUTER EXPENSE</t>
  </si>
  <si>
    <t>OFFICE HOLIDAY EXPENSE</t>
  </si>
  <si>
    <t>7315-0000</t>
  </si>
  <si>
    <t>OFFICE CHARITABLE</t>
  </si>
  <si>
    <t>OFFICE SUPPLIES</t>
  </si>
  <si>
    <t>7420-0000</t>
  </si>
  <si>
    <t>OFFICE POSTAGE</t>
  </si>
  <si>
    <t>MISCELLANEOUS</t>
  </si>
  <si>
    <t>Total Operating Expenses</t>
  </si>
  <si>
    <t>CAM Only</t>
  </si>
  <si>
    <t>Reserves/Contingency</t>
  </si>
  <si>
    <t>Net Operating Income</t>
  </si>
  <si>
    <t>Principal Payments</t>
  </si>
  <si>
    <t>2105-0000</t>
  </si>
  <si>
    <t>Interest Payments</t>
  </si>
  <si>
    <t>Net Cash After Principal &amp; Interest</t>
  </si>
  <si>
    <t>Broker's Commission</t>
  </si>
  <si>
    <t>Building Improvements</t>
  </si>
  <si>
    <t>Tenant Improvements</t>
  </si>
  <si>
    <t>1740-0000</t>
  </si>
  <si>
    <t>Capital Distributions</t>
  </si>
  <si>
    <t>Net Cash After Capital Distributions</t>
  </si>
  <si>
    <t>Real Estate Tax Escrow</t>
  </si>
  <si>
    <t>Cash Balance Beginning of Month</t>
  </si>
  <si>
    <t>Cash Balance End of Month</t>
  </si>
  <si>
    <t>hard coded - actual from Yardi</t>
  </si>
  <si>
    <t>To reserve in account</t>
  </si>
  <si>
    <t>Allowable Distribution</t>
  </si>
  <si>
    <t>2016 PROJECTED TOTAL BUDGET</t>
  </si>
  <si>
    <t>Period</t>
  </si>
  <si>
    <t>Payment</t>
  </si>
  <si>
    <t>Principal</t>
  </si>
  <si>
    <t>Interest</t>
  </si>
  <si>
    <t>Cumulative Principal</t>
  </si>
  <si>
    <t>Cumulative Interest</t>
  </si>
  <si>
    <t>Projected Inflation 2016</t>
  </si>
  <si>
    <t>Loan Amount</t>
  </si>
  <si>
    <t>Interest Rate</t>
  </si>
  <si>
    <t>Payments</t>
  </si>
  <si>
    <t>Months</t>
  </si>
  <si>
    <t>LQ Laundry of Rutherford, LLC Rent Schedule and Broker Payments</t>
  </si>
  <si>
    <t>BROKER CHARGES BY MONTH 2016 PROJECTED</t>
  </si>
  <si>
    <t>7/4/15-7/3/16</t>
  </si>
  <si>
    <t>7/4/16-7/3/17</t>
  </si>
  <si>
    <t>7/4/17-7/3/18</t>
  </si>
  <si>
    <t>TOTAL</t>
  </si>
  <si>
    <t>7/4/18-7/3/19</t>
  </si>
  <si>
    <t>7/4/19-7/3/20</t>
  </si>
  <si>
    <t>SONIC SUDS</t>
  </si>
  <si>
    <t>7/4/20-7/3/21</t>
  </si>
  <si>
    <t>CENTURY 21</t>
  </si>
  <si>
    <t>7/4/21-7/3/22</t>
  </si>
  <si>
    <t>DUNKIN DONUTS</t>
  </si>
  <si>
    <t>7/4/22 - 7/3/23</t>
  </si>
  <si>
    <t>SUNRISE TKD</t>
  </si>
  <si>
    <t>7/4/23-7/3/24</t>
  </si>
  <si>
    <t>SPACE 2 (QUEST)</t>
  </si>
  <si>
    <t>7/4/24 - 7/3/25</t>
  </si>
  <si>
    <t>SPACE 3</t>
  </si>
  <si>
    <t>Total 10-year rent</t>
  </si>
  <si>
    <t>Total Payments</t>
  </si>
  <si>
    <t>5% Broker Fee</t>
  </si>
  <si>
    <t>25% within 30-days of opening</t>
  </si>
  <si>
    <t>25% after 90-days after 1st installment</t>
  </si>
  <si>
    <t>25% after 180 days of 1st installment</t>
  </si>
  <si>
    <t>25% after 270 days of 1st installment</t>
  </si>
  <si>
    <t>Goldstein Group (Dunkin Donut Commission Agreement)</t>
  </si>
  <si>
    <t>1-5 Years ($47,300.00 * 5 years)</t>
  </si>
  <si>
    <t>6/10 Years ($53,212.50 * 5 years)</t>
  </si>
  <si>
    <t>25% 30 days after tenant opened for business</t>
  </si>
  <si>
    <t>1+2 of 4 pmts</t>
  </si>
  <si>
    <t>3 of 4 pmts</t>
  </si>
  <si>
    <t>4 of 4 pmts</t>
  </si>
  <si>
    <t>PROJECTED BROKER PAYMENT TIMELINE FOR DUNKIN DONUTS (PER GOLDSTEIN GROUP INVOICE - ADJUSTED FOR OPENING)</t>
  </si>
  <si>
    <t>Due Upon 30 days Commence Rent and Open Store (25%)</t>
  </si>
  <si>
    <t>Due Upon 90 days following Initial Payment (25%)</t>
  </si>
  <si>
    <t>Due Upon 180 days following Initial Payment (25%)</t>
  </si>
  <si>
    <t>Due Upon 270 Days following Initial Payment (25%)</t>
  </si>
  <si>
    <t>SUNRISE TAE KWON DO WITH RKF</t>
  </si>
  <si>
    <r>
      <t xml:space="preserve">   based on $27,945 annual rent over 5 years initital term = $139,725 X 5% = $6,986.25 X </t>
    </r>
    <r>
      <rPr>
        <b/>
        <u/>
        <sz val="11"/>
        <color theme="1"/>
        <rFont val="Calibri"/>
        <family val="2"/>
        <scheme val="minor"/>
      </rPr>
      <t>2 DEALS</t>
    </r>
    <r>
      <rPr>
        <b/>
        <sz val="11"/>
        <color theme="1"/>
        <rFont val="Calibri"/>
        <family val="2"/>
        <scheme val="minor"/>
      </rPr>
      <t xml:space="preserve"> =$30,000</t>
    </r>
  </si>
  <si>
    <t>Year 1 Rent</t>
  </si>
  <si>
    <t>Year 2 Rent</t>
  </si>
  <si>
    <t>Year 3 Rent</t>
  </si>
  <si>
    <t>Year 4 Rent</t>
  </si>
  <si>
    <t>Year 5 Rent</t>
  </si>
  <si>
    <t>5% Commission</t>
  </si>
  <si>
    <t>50% due at opening</t>
  </si>
  <si>
    <t>Projected</t>
  </si>
  <si>
    <t>50% due six months after opening</t>
  </si>
  <si>
    <t>SPACE 2 (QUEST DIAGNOSTICS) WITH RIPCO</t>
  </si>
  <si>
    <t>Square feet</t>
  </si>
  <si>
    <t>Rent PSF</t>
  </si>
  <si>
    <t>25% Due 45 days after opening, payment of rent and conditions met</t>
  </si>
  <si>
    <t>25% due 90 days following initial payment</t>
  </si>
  <si>
    <t>25% due 135 days after initial payment</t>
  </si>
  <si>
    <t>25% due 180 days after initial payment</t>
  </si>
  <si>
    <t>SPACE3 WITH RIPCO</t>
  </si>
  <si>
    <t xml:space="preserve">   based on $30,360 annual rent over 5 years initital term = $151,800 X 5% = $7,590</t>
  </si>
  <si>
    <t>BASE RENTAL CHARGES</t>
  </si>
  <si>
    <t>Tenant Name</t>
  </si>
  <si>
    <t>Sq Ft</t>
  </si>
  <si>
    <t>Total 2015</t>
  </si>
  <si>
    <t>RCD 9/15/16</t>
  </si>
  <si>
    <t>RCD 11/1/16</t>
  </si>
  <si>
    <t>RCD 5/17/16</t>
  </si>
  <si>
    <t>Total Rent Revenue</t>
  </si>
  <si>
    <t>CAM CHARGES</t>
  </si>
  <si>
    <t>REAL ESTATE TAX CHARGES</t>
  </si>
  <si>
    <t>INSURANCE CHARGES</t>
  </si>
  <si>
    <t> CAM - MANAGEMENT FEES</t>
  </si>
  <si>
    <t> CAM-REPAIRS</t>
  </si>
  <si>
    <t> OFFICE- AUTO &amp; LOCAL FARE</t>
  </si>
  <si>
    <t xml:space="preserve"> MORTGAGE PAYABLE #1</t>
  </si>
  <si>
    <t xml:space="preserve"> TENANT IMPROVEMENT</t>
  </si>
  <si>
    <t xml:space="preserve"> RESERVE/CONTINGENCY</t>
  </si>
  <si>
    <t xml:space="preserve"> RELEASE FUNDS</t>
  </si>
  <si>
    <t>CASH BALANCE - BEGINNING OF MONTH</t>
  </si>
  <si>
    <t>CASH BALANCE - END OF MONTH</t>
  </si>
  <si>
    <t>EAST WINDSOR</t>
  </si>
  <si>
    <t>2017 Projected Budget</t>
  </si>
  <si>
    <t>Bollywood Salon</t>
  </si>
  <si>
    <t>Gold's Gym</t>
  </si>
  <si>
    <t>Via Roma</t>
  </si>
  <si>
    <t>Windsor Dry Cleaner</t>
  </si>
  <si>
    <t>BASE RENT EAST WINDSOR CROSSING LLC</t>
  </si>
  <si>
    <t>Column16</t>
  </si>
  <si>
    <t>Column17</t>
  </si>
  <si>
    <t>Column18</t>
  </si>
  <si>
    <t>Column19</t>
  </si>
  <si>
    <t>Patidar Cash and Carry</t>
  </si>
  <si>
    <t>Bold Eagle/Edible Arrangements</t>
  </si>
  <si>
    <t>Learning Step Kumon</t>
  </si>
  <si>
    <t>Assumes rent reduction stays in effect now through 2015</t>
  </si>
  <si>
    <t>Hot Peppers SKP Indian 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</si>
  <si>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</si>
  <si>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</si>
  <si>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</si>
  <si>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</si>
  <si>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</si>
  <si>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</si>
  <si>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</si>
  <si>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</si>
  <si>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</si>
  <si>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</si>
  <si>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</si>
  <si>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</si>
  <si>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PSF</t>
  </si>
  <si>
    <t xml:space="preserve">2017 OPERATING BUDGET </t>
  </si>
  <si>
    <t>2017 OPERATING BUDGET</t>
  </si>
  <si>
    <t>2017 PROJECTED TOTAL BUDGET</t>
  </si>
  <si>
    <t> CAM- EXTERMINATOR</t>
  </si>
  <si>
    <t>3110-0000</t>
  </si>
  <si>
    <t xml:space="preserve"> CAPITAL - CHARLES S. HADDAD</t>
  </si>
  <si>
    <t>3113-0000</t>
  </si>
  <si>
    <t xml:space="preserve"> CAPITAL - RICHARD A. HADDAD</t>
  </si>
  <si>
    <t xml:space="preserve"> CAPITAL - ISAAC JEMAL</t>
  </si>
  <si>
    <t xml:space="preserve"> CAPITAL - JOSEPH I. JEMAL</t>
  </si>
  <si>
    <t xml:space="preserve"> CAPITAL - SAMUEL I. JEMAL</t>
  </si>
  <si>
    <t>3127-0000</t>
  </si>
  <si>
    <t xml:space="preserve"> CAPITAL - DAVID SHWEKY</t>
  </si>
  <si>
    <t>3149-0000</t>
  </si>
  <si>
    <t xml:space="preserve"> CAPITAL - ALISON SUTTON</t>
  </si>
  <si>
    <t>3150-0000</t>
  </si>
  <si>
    <t xml:space="preserve"> CAPITAL - TERRANOVA REALTY VENT</t>
  </si>
  <si>
    <t>3151-0000</t>
  </si>
  <si>
    <t xml:space="preserve"> CAPITAL - JOSEPH COHEN</t>
  </si>
  <si>
    <t>3152-0000</t>
  </si>
  <si>
    <t xml:space="preserve"> CAPITAL - EST REALTY, LLC</t>
  </si>
  <si>
    <t>3153-0000</t>
  </si>
  <si>
    <t xml:space="preserve"> CAPITAL - HMS EAST WINDSOR COR</t>
  </si>
  <si>
    <t>3154-0000</t>
  </si>
  <si>
    <t xml:space="preserve"> CAPITAL - RALPH TAWIL</t>
  </si>
  <si>
    <t>3155-0000</t>
  </si>
  <si>
    <t xml:space="preserve"> CAPITAL - UZI SHVOT</t>
  </si>
  <si>
    <t>3156-0000</t>
  </si>
  <si>
    <t xml:space="preserve"> CAPITAL - DAYCORP FINANCE CO, SA</t>
  </si>
  <si>
    <t>3158-0000</t>
  </si>
  <si>
    <t xml:space="preserve"> CAPITAL - ALFRED SUTTON</t>
  </si>
  <si>
    <t>3159-0000</t>
  </si>
  <si>
    <t xml:space="preserve"> CAPITAL - CLAUDE PARDO</t>
  </si>
  <si>
    <t>3160-0000</t>
  </si>
  <si>
    <t xml:space="preserve"> CAPITAL - GRS EAST WINDSOR,INC</t>
  </si>
  <si>
    <t>3173-0000</t>
  </si>
  <si>
    <t xml:space="preserve"> CAPITAL - LILA REAL ESTATE INC.</t>
  </si>
  <si>
    <t> CAM- ELEVATOR REPAIR</t>
  </si>
  <si>
    <t> TELEPHONE</t>
  </si>
  <si>
    <t>LED Retrofit Parking Lot</t>
  </si>
  <si>
    <t>Project</t>
  </si>
  <si>
    <t>Description</t>
  </si>
  <si>
    <t>Area</t>
  </si>
  <si>
    <t>Year</t>
  </si>
  <si>
    <t>Expected Cost</t>
  </si>
  <si>
    <t>Capital/CAM</t>
  </si>
  <si>
    <t>Potential Resource/Vendor</t>
  </si>
  <si>
    <t>Target Start Date</t>
  </si>
  <si>
    <t>Additional Sign on Route 33</t>
  </si>
  <si>
    <t>Under the municipal guidelines, we can obtain approval for an additional pylon sign along Route 33 without a variance</t>
  </si>
  <si>
    <t>Improvement</t>
  </si>
  <si>
    <t>CAP</t>
  </si>
  <si>
    <t>Any Sign Company</t>
  </si>
  <si>
    <t>LED Retrofit of Pole Lighting throughout property</t>
  </si>
  <si>
    <t>YESCO, Broadway Lighting</t>
  </si>
  <si>
    <t>Service Area Paving</t>
  </si>
  <si>
    <t>Paving of the delivery and service areas of the shopping center</t>
  </si>
  <si>
    <t>Parking Lot</t>
  </si>
  <si>
    <t>C&amp;L</t>
  </si>
  <si>
    <t> CAM - RUBBISH REMOVAL</t>
  </si>
  <si>
    <t>Total Allowance for Doubtful Accounts</t>
  </si>
  <si>
    <t>ALLOWANCE FOR DOUBTFUL ACCOUNTS</t>
  </si>
  <si>
    <t>Adjusted Cashflow</t>
  </si>
  <si>
    <t>Meet at 8%</t>
  </si>
  <si>
    <t>Grand Total</t>
  </si>
  <si>
    <t>Monthly</t>
  </si>
  <si>
    <t>Annual</t>
  </si>
  <si>
    <t>Investors</t>
  </si>
  <si>
    <t>%-ownership</t>
  </si>
  <si>
    <t>GL</t>
  </si>
  <si>
    <t>NJ WITHHELD FROM CAPITAL DISTRIBUTION</t>
  </si>
  <si>
    <t>6216-0000</t>
  </si>
  <si>
    <t> CAM- LIGHTING</t>
  </si>
  <si>
    <t>$75K? LED Retrofit Parking Lot - Potential Vendor: YESCO, BROADWAY LIGHTING</t>
  </si>
  <si>
    <t>reduced by 30% due to CRS SF increase</t>
  </si>
  <si>
    <t>Based on 2016 Actual less the NJ Withholding</t>
  </si>
  <si>
    <t>1st</t>
  </si>
  <si>
    <t>% Change</t>
  </si>
  <si>
    <t>3406-0000</t>
  </si>
  <si>
    <t>DRAWING - CELIA COHEN</t>
  </si>
  <si>
    <t>DRAWING - ISAAC S. JEMAL</t>
  </si>
  <si>
    <t>This is what is being paid currently</t>
  </si>
  <si>
    <t>Based on 2016 Actual</t>
  </si>
  <si>
    <t>6237-0000</t>
  </si>
  <si>
    <t> CAM - REPAIRS, HVAC, BOILER &amp; EQUIP</t>
  </si>
  <si>
    <t>Circle Plaza</t>
  </si>
  <si>
    <t>The TJX Companies, I</t>
  </si>
  <si>
    <t>Payless Shoe Source,</t>
  </si>
  <si>
    <t>ABCO Public Employee</t>
  </si>
  <si>
    <t>Circle Plaza Cleaner</t>
  </si>
  <si>
    <t>4 M Fashions</t>
  </si>
  <si>
    <t>Renters Choice, Inc.</t>
  </si>
  <si>
    <t>Dollar Tree Stores I</t>
  </si>
  <si>
    <t>Ginza</t>
  </si>
  <si>
    <t>CIR</t>
  </si>
  <si>
    <t>Real Estate Taxes</t>
  </si>
  <si>
    <t>6210-0000</t>
  </si>
  <si>
    <t> CAM - PLUMBING MAINTENANCE</t>
  </si>
  <si>
    <t>3403-0000</t>
  </si>
  <si>
    <t>DRAWING - ALTERA GROUP</t>
  </si>
  <si>
    <t>3409-0000</t>
  </si>
  <si>
    <t>DRAWING - JACK DUSHEY</t>
  </si>
  <si>
    <t>3413-0000</t>
  </si>
  <si>
    <t>DRAWING - RICHARD A. HADDAD</t>
  </si>
  <si>
    <t>3415-0000</t>
  </si>
  <si>
    <t>DRAWING - EZRA HAMWAY</t>
  </si>
  <si>
    <t>3419-0000</t>
  </si>
  <si>
    <t>DRAWING - JOSEPH I. JEMAL</t>
  </si>
  <si>
    <t>3420-0000</t>
  </si>
  <si>
    <t>DRAWING - SAMUEL I. JEMAL</t>
  </si>
  <si>
    <t>3425-0000</t>
  </si>
  <si>
    <t>DRAWING - CHAVIVA SCHECHTER</t>
  </si>
  <si>
    <t>3429-0000</t>
  </si>
  <si>
    <t>DRAWING - MICHAEL SILVERMAN</t>
  </si>
  <si>
    <t>3431-0000</t>
  </si>
  <si>
    <t>DRAWING - ARYEH SUTTON</t>
  </si>
  <si>
    <t>3434-0000</t>
  </si>
  <si>
    <t>DRAWING - JONATHAN SUTTON</t>
  </si>
  <si>
    <t>3441-0000</t>
  </si>
  <si>
    <t>DRAWING - DAVID J. SUTTON</t>
  </si>
  <si>
    <t>3487-0000</t>
  </si>
  <si>
    <t>DRAWING - STEPHEN M LEVY FAMILY PARTNERSHIP LP</t>
  </si>
  <si>
    <t>Capital Contribution</t>
  </si>
  <si>
    <t>Property value increase, Egg Harbor, NJ</t>
  </si>
  <si>
    <t>Loan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</si>
</sst>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\-yy;@"/>
    <numFmt numFmtId="166" formatCode="mm/dd/yy;@"/>
    <numFmt numFmtId="167" formatCode="0.000%"/>
    <numFmt numFmtId="168" formatCode="[$-409]mmmm\-yy;@"/>
    <numFmt numFmtId="169" formatCode="&quot;$&quot;#,##0"/>
    <numFmt numFmtId="171" formatCode="0.000000000000000%"/>
    <numFmt numFmtId="172" formatCode="0.0000%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rgb="FF505050"/>
      <name val="Verdana"/>
      <family val="2"/>
    </font>
    <font>
      <b/>
      <sz val="12"/>
      <color theme="1"/>
      <name val="Verdana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</font>
    <font>
      <b/>
      <sz val="11"/>
      <color theme="1"/>
      <name val="Calibri"/>
      <family val="2"/>
    </font>
    <font>
      <b/>
      <sz val="11"/>
      <color theme="4" tint="-0.249977111117893"/>
      <name val="Calibri"/>
      <family val="2"/>
    </font>
    <font>
      <b/>
      <sz val="12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505050"/>
      <name val="Verdana"/>
      <family val="2"/>
    </font>
    <font>
      <sz val="9"/>
      <name val="Arial"/>
      <family val="2"/>
    </font>
    <font>
      <b/>
      <sz val="12"/>
      <color rgb="FF505050"/>
      <name val="Verdana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top"/>
    </xf>
    <xf numFmtId="0" fontId="23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5">
    <xf numFmtId="0" fontId="0" fillId="0" borderId="0" xfId="0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left"/>
    </xf>
    <xf numFmtId="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" fontId="19" fillId="0" borderId="11" xfId="0" applyNumberFormat="1" applyFont="1" applyBorder="1" applyAlignment="1">
      <alignment horizontal="right"/>
    </xf>
    <xf numFmtId="0" fontId="19" fillId="0" borderId="0" xfId="0" applyFont="1" applyAlignment="1">
      <alignment horizontal="right"/>
    </xf>
    <xf numFmtId="0" fontId="20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0" xfId="44" applyFont="1"/>
    <xf numFmtId="0" fontId="24" fillId="0" borderId="0" xfId="44" applyFont="1" applyAlignment="1">
      <alignment horizontal="center"/>
    </xf>
    <xf numFmtId="164" fontId="24" fillId="0" borderId="12" xfId="45" applyNumberFormat="1" applyFont="1" applyBorder="1" applyAlignment="1">
      <alignment horizontal="center"/>
    </xf>
    <xf numFmtId="164" fontId="24" fillId="0" borderId="0" xfId="45" applyNumberFormat="1" applyFont="1"/>
    <xf numFmtId="164" fontId="24" fillId="0" borderId="13" xfId="45" applyNumberFormat="1" applyFont="1" applyBorder="1"/>
    <xf numFmtId="164" fontId="25" fillId="0" borderId="0" xfId="45" applyNumberFormat="1" applyFont="1"/>
    <xf numFmtId="0" fontId="24" fillId="0" borderId="0" xfId="44" applyFont="1"/>
    <xf numFmtId="165" fontId="26" fillId="0" borderId="0" xfId="44" applyNumberFormat="1" applyFont="1" applyAlignment="1">
      <alignment horizontal="center"/>
    </xf>
    <xf numFmtId="165" fontId="26" fillId="0" borderId="12" xfId="45" applyNumberFormat="1" applyFont="1" applyBorder="1" applyAlignment="1">
      <alignment horizontal="center"/>
    </xf>
    <xf numFmtId="165" fontId="26" fillId="0" borderId="0" xfId="45" applyNumberFormat="1" applyFont="1" applyAlignment="1">
      <alignment horizontal="center"/>
    </xf>
    <xf numFmtId="165" fontId="26" fillId="0" borderId="13" xfId="45" quotePrefix="1" applyNumberFormat="1" applyFont="1" applyBorder="1" applyAlignment="1">
      <alignment horizontal="center"/>
    </xf>
    <xf numFmtId="0" fontId="27" fillId="0" borderId="0" xfId="45" applyNumberFormat="1" applyFont="1" applyAlignment="1">
      <alignment horizontal="center"/>
    </xf>
    <xf numFmtId="0" fontId="1" fillId="34" borderId="0" xfId="44" applyFont="1" applyFill="1"/>
    <xf numFmtId="0" fontId="1" fillId="34" borderId="0" xfId="44" applyFont="1" applyFill="1" applyAlignment="1">
      <alignment horizontal="center"/>
    </xf>
    <xf numFmtId="164" fontId="1" fillId="34" borderId="12" xfId="45" applyNumberFormat="1" applyFont="1" applyFill="1" applyBorder="1" applyAlignment="1">
      <alignment horizontal="center"/>
    </xf>
    <xf numFmtId="164" fontId="24" fillId="34" borderId="0" xfId="45" applyNumberFormat="1" applyFont="1" applyFill="1"/>
    <xf numFmtId="164" fontId="24" fillId="34" borderId="13" xfId="45" applyNumberFormat="1" applyFont="1" applyFill="1" applyBorder="1"/>
    <xf numFmtId="164" fontId="25" fillId="34" borderId="0" xfId="45" applyNumberFormat="1" applyFont="1" applyFill="1"/>
    <xf numFmtId="0" fontId="24" fillId="34" borderId="0" xfId="44" applyFont="1" applyFill="1"/>
    <xf numFmtId="0" fontId="1" fillId="0" borderId="0" xfId="44" applyFont="1"/>
    <xf numFmtId="0" fontId="1" fillId="0" borderId="0" xfId="44" applyFont="1" applyAlignment="1">
      <alignment horizontal="center"/>
    </xf>
    <xf numFmtId="164" fontId="1" fillId="0" borderId="12" xfId="45" applyNumberFormat="1" applyFont="1" applyBorder="1" applyAlignment="1">
      <alignment horizontal="center"/>
    </xf>
    <xf numFmtId="0" fontId="26" fillId="35" borderId="0" xfId="44" applyFont="1" applyFill="1"/>
    <xf numFmtId="0" fontId="26" fillId="35" borderId="0" xfId="44" applyFont="1" applyFill="1" applyAlignment="1">
      <alignment horizontal="center"/>
    </xf>
    <xf numFmtId="164" fontId="26" fillId="35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/>
    <xf numFmtId="164" fontId="26" fillId="35" borderId="13" xfId="45" applyNumberFormat="1" applyFont="1" applyFill="1" applyBorder="1"/>
    <xf numFmtId="164" fontId="27" fillId="35" borderId="0" xfId="45" applyNumberFormat="1" applyFont="1" applyFill="1"/>
    <xf numFmtId="0" fontId="24" fillId="35" borderId="0" xfId="44" applyFont="1" applyFill="1" applyAlignment="1">
      <alignment horizontal="center"/>
    </xf>
    <xf numFmtId="164" fontId="24" fillId="35" borderId="12" xfId="45" applyNumberFormat="1" applyFont="1" applyFill="1" applyBorder="1" applyAlignment="1">
      <alignment horizontal="center"/>
    </xf>
    <xf numFmtId="164" fontId="24" fillId="35" borderId="0" xfId="45" applyNumberFormat="1" applyFont="1" applyFill="1"/>
    <xf numFmtId="164" fontId="24" fillId="35" borderId="13" xfId="45" applyNumberFormat="1" applyFont="1" applyFill="1" applyBorder="1"/>
    <xf numFmtId="164" fontId="25" fillId="35" borderId="0" xfId="45" applyNumberFormat="1" applyFont="1" applyFill="1"/>
    <xf numFmtId="0" fontId="24" fillId="35" borderId="0" xfId="44" applyFont="1" applyFill="1"/>
    <xf numFmtId="0" fontId="26" fillId="34" borderId="0" xfId="44" applyFont="1" applyFill="1" applyAlignment="1">
      <alignment horizontal="center"/>
    </xf>
    <xf numFmtId="164" fontId="26" fillId="34" borderId="12" xfId="45" applyNumberFormat="1" applyFont="1" applyFill="1" applyBorder="1" applyAlignment="1">
      <alignment horizontal="center"/>
    </xf>
    <xf numFmtId="0" fontId="24" fillId="34" borderId="0" xfId="44" applyFont="1" applyFill="1" applyAlignment="1">
      <alignment horizontal="center"/>
    </xf>
    <xf numFmtId="164" fontId="24" fillId="34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 applyAlignment="1">
      <alignment horizontal="center"/>
    </xf>
    <xf numFmtId="164" fontId="28" fillId="0" borderId="0" xfId="45" applyNumberFormat="1" applyFont="1"/>
    <xf numFmtId="164" fontId="24" fillId="0" borderId="0" xfId="45" applyNumberFormat="1" applyFont="1" applyAlignment="1">
      <alignment horizontal="right"/>
    </xf>
    <xf numFmtId="44" fontId="24" fillId="0" borderId="0" xfId="45" applyNumberFormat="1" applyFont="1"/>
    <xf numFmtId="0" fontId="1" fillId="0" borderId="0" xfId="44" applyFont="1" applyFill="1"/>
    <xf numFmtId="0" fontId="1" fillId="0" borderId="0" xfId="44" applyFont="1" applyFill="1" applyAlignment="1">
      <alignment horizontal="center"/>
    </xf>
    <xf numFmtId="44" fontId="1" fillId="0" borderId="0" xfId="44" applyNumberFormat="1" applyFont="1" applyFill="1"/>
    <xf numFmtId="44" fontId="1" fillId="0" borderId="0" xfId="45" applyFont="1" applyFill="1"/>
    <xf numFmtId="44" fontId="1" fillId="0" borderId="0" xfId="45" applyFont="1" applyBorder="1"/>
    <xf numFmtId="16" fontId="29" fillId="0" borderId="0" xfId="44" applyNumberFormat="1" applyFont="1" applyAlignment="1">
      <alignment vertical="center"/>
    </xf>
    <xf numFmtId="44" fontId="1" fillId="0" borderId="0" xfId="45" applyFont="1"/>
    <xf numFmtId="44" fontId="1" fillId="0" borderId="0" xfId="44" applyNumberFormat="1" applyFont="1"/>
    <xf numFmtId="168" fontId="29" fillId="0" borderId="0" xfId="44" applyNumberFormat="1" applyFont="1" applyAlignment="1">
      <alignment horizontal="center" vertical="center"/>
    </xf>
    <xf numFmtId="0" fontId="29" fillId="0" borderId="0" xfId="44" applyFont="1" applyAlignment="1">
      <alignment horizontal="center" vertical="center"/>
    </xf>
    <xf numFmtId="169" fontId="1" fillId="0" borderId="0" xfId="44" applyNumberFormat="1" applyFont="1"/>
    <xf numFmtId="44" fontId="30" fillId="0" borderId="0" xfId="44" applyNumberFormat="1" applyFont="1"/>
    <xf numFmtId="14" fontId="1" fillId="0" borderId="0" xfId="44" applyNumberFormat="1" applyFont="1" applyAlignment="1">
      <alignment horizontal="center"/>
    </xf>
    <xf numFmtId="9" fontId="1" fillId="0" borderId="0" xfId="44" applyNumberFormat="1" applyFont="1"/>
    <xf numFmtId="44" fontId="16" fillId="0" borderId="14" xfId="45" applyFont="1" applyBorder="1"/>
    <xf numFmtId="14" fontId="1" fillId="0" borderId="0" xfId="44" applyNumberFormat="1" applyFont="1"/>
    <xf numFmtId="44" fontId="16" fillId="0" borderId="0" xfId="44" applyNumberFormat="1" applyFont="1"/>
    <xf numFmtId="14" fontId="16" fillId="0" borderId="0" xfId="44" applyNumberFormat="1" applyFont="1"/>
    <xf numFmtId="44" fontId="30" fillId="0" borderId="0" xfId="45" applyFont="1"/>
    <xf numFmtId="16" fontId="1" fillId="0" borderId="0" xfId="44" applyNumberFormat="1" applyFont="1"/>
    <xf numFmtId="3" fontId="1" fillId="0" borderId="0" xfId="44" applyNumberFormat="1" applyFont="1" applyAlignment="1">
      <alignment horizontal="center"/>
    </xf>
    <xf numFmtId="164" fontId="1" fillId="0" borderId="0" xfId="45" applyNumberFormat="1" applyFont="1"/>
    <xf numFmtId="0" fontId="16" fillId="0" borderId="0" xfId="44" applyFont="1" applyAlignment="1">
      <alignment horizontal="center"/>
    </xf>
    <xf numFmtId="3" fontId="16" fillId="0" borderId="0" xfId="44" applyNumberFormat="1" applyFont="1" applyAlignment="1">
      <alignment horizontal="center"/>
    </xf>
    <xf numFmtId="165" fontId="16" fillId="0" borderId="0" xfId="45" applyNumberFormat="1" applyFont="1" applyAlignment="1">
      <alignment horizontal="center"/>
    </xf>
    <xf numFmtId="164" fontId="16" fillId="0" borderId="0" xfId="45" applyNumberFormat="1" applyFont="1" applyAlignment="1">
      <alignment horizontal="center"/>
    </xf>
    <xf numFmtId="3" fontId="1" fillId="34" borderId="0" xfId="44" applyNumberFormat="1" applyFont="1" applyFill="1" applyAlignment="1">
      <alignment horizontal="center"/>
    </xf>
    <xf numFmtId="44" fontId="1" fillId="34" borderId="0" xfId="45" applyFont="1" applyFill="1" applyAlignment="1">
      <alignment horizontal="center"/>
    </xf>
    <xf numFmtId="164" fontId="1" fillId="34" borderId="0" xfId="45" applyNumberFormat="1" applyFont="1" applyFill="1"/>
    <xf numFmtId="44" fontId="1" fillId="0" borderId="0" xfId="45" applyFont="1" applyAlignment="1">
      <alignment horizontal="center"/>
    </xf>
    <xf numFmtId="3" fontId="31" fillId="35" borderId="0" xfId="44" applyNumberFormat="1" applyFont="1" applyFill="1" applyAlignment="1">
      <alignment horizontal="center"/>
    </xf>
    <xf numFmtId="164" fontId="31" fillId="35" borderId="0" xfId="45" applyNumberFormat="1" applyFont="1" applyFill="1"/>
    <xf numFmtId="164" fontId="1" fillId="0" borderId="0" xfId="45" applyNumberFormat="1" applyFont="1" applyFill="1"/>
    <xf numFmtId="0" fontId="16" fillId="35" borderId="0" xfId="44" applyFont="1" applyFill="1"/>
    <xf numFmtId="0" fontId="16" fillId="35" borderId="0" xfId="44" applyFont="1" applyFill="1" applyAlignment="1">
      <alignment horizontal="center"/>
    </xf>
    <xf numFmtId="3" fontId="16" fillId="35" borderId="0" xfId="44" applyNumberFormat="1" applyFont="1" applyFill="1" applyAlignment="1">
      <alignment horizontal="center"/>
    </xf>
    <xf numFmtId="164" fontId="16" fillId="35" borderId="0" xfId="45" applyNumberFormat="1" applyFont="1" applyFill="1"/>
    <xf numFmtId="0" fontId="16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4" fontId="1" fillId="0" borderId="0" xfId="47" applyFont="1" applyAlignment="1">
      <alignment horizontal="center"/>
    </xf>
    <xf numFmtId="0" fontId="0" fillId="0" borderId="0" xfId="44" applyFont="1"/>
    <xf numFmtId="0" fontId="21" fillId="0" borderId="0" xfId="0" applyFont="1" applyAlignment="1"/>
    <xf numFmtId="4" fontId="33" fillId="0" borderId="0" xfId="1" applyNumberFormat="1" applyFont="1" applyAlignment="1">
      <alignment horizontal="center"/>
    </xf>
    <xf numFmtId="40" fontId="19" fillId="0" borderId="0" xfId="0" applyNumberFormat="1" applyFont="1" applyAlignment="1">
      <alignment horizontal="right"/>
    </xf>
    <xf numFmtId="40" fontId="19" fillId="0" borderId="0" xfId="1" applyNumberFormat="1" applyFont="1" applyAlignment="1">
      <alignment horizontal="right"/>
    </xf>
    <xf numFmtId="40" fontId="20" fillId="0" borderId="11" xfId="0" applyNumberFormat="1" applyFont="1" applyBorder="1" applyAlignment="1">
      <alignment horizontal="right"/>
    </xf>
    <xf numFmtId="40" fontId="21" fillId="0" borderId="0" xfId="0" applyNumberFormat="1" applyFont="1" applyAlignment="1"/>
    <xf numFmtId="40" fontId="20" fillId="33" borderId="10" xfId="1" applyNumberFormat="1" applyFont="1" applyFill="1" applyBorder="1" applyAlignment="1">
      <alignment horizontal="center" vertical="center" wrapText="1"/>
    </xf>
    <xf numFmtId="40" fontId="19" fillId="0" borderId="0" xfId="0" applyNumberFormat="1" applyFont="1" applyAlignment="1">
      <alignment horizontal="center"/>
    </xf>
    <xf numFmtId="40" fontId="20" fillId="0" borderId="0" xfId="0" applyNumberFormat="1" applyFont="1" applyAlignment="1">
      <alignment horizontal="right"/>
    </xf>
    <xf numFmtId="40" fontId="19" fillId="0" borderId="0" xfId="0" applyNumberFormat="1" applyFont="1" applyBorder="1" applyAlignment="1">
      <alignment horizontal="right"/>
    </xf>
    <xf numFmtId="40" fontId="20" fillId="0" borderId="0" xfId="0" applyNumberFormat="1" applyFont="1" applyBorder="1" applyAlignment="1">
      <alignment horizontal="right"/>
    </xf>
    <xf numFmtId="40" fontId="20" fillId="0" borderId="0" xfId="0" applyNumberFormat="1" applyFont="1" applyAlignment="1">
      <alignment horizontal="center"/>
    </xf>
    <xf numFmtId="40" fontId="20" fillId="0" borderId="0" xfId="1" applyNumberFormat="1" applyFont="1" applyAlignment="1">
      <alignment horizontal="center"/>
    </xf>
    <xf numFmtId="40" fontId="20" fillId="0" borderId="0" xfId="1" applyNumberFormat="1" applyFont="1" applyAlignment="1">
      <alignment horizontal="right"/>
    </xf>
    <xf numFmtId="40" fontId="0" fillId="0" borderId="0" xfId="0" applyNumberFormat="1"/>
    <xf numFmtId="40" fontId="0" fillId="0" borderId="0" xfId="1" applyNumberFormat="1" applyFont="1"/>
    <xf numFmtId="0" fontId="20" fillId="0" borderId="0" xfId="0" applyFont="1" applyAlignment="1"/>
    <xf numFmtId="0" fontId="19" fillId="0" borderId="0" xfId="0" applyFont="1" applyAlignment="1">
      <alignment horizontal="center"/>
    </xf>
    <xf numFmtId="17" fontId="20" fillId="33" borderId="10" xfId="0" applyNumberFormat="1" applyFont="1" applyFill="1" applyBorder="1" applyAlignment="1">
      <alignment horizontal="center" vertical="center" wrapText="1"/>
    </xf>
    <xf numFmtId="0" fontId="35" fillId="0" borderId="15" xfId="0" applyFont="1" applyBorder="1"/>
    <xf numFmtId="0" fontId="16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36" fillId="0" borderId="15" xfId="0" applyFont="1" applyBorder="1"/>
    <xf numFmtId="0" fontId="0" fillId="0" borderId="15" xfId="0" applyBorder="1"/>
    <xf numFmtId="44" fontId="0" fillId="0" borderId="15" xfId="0" applyNumberFormat="1" applyBorder="1"/>
    <xf numFmtId="49" fontId="0" fillId="0" borderId="15" xfId="0" applyNumberFormat="1" applyBorder="1"/>
    <xf numFmtId="168" fontId="0" fillId="0" borderId="15" xfId="0" applyNumberFormat="1" applyBorder="1"/>
    <xf numFmtId="0" fontId="35" fillId="0" borderId="15" xfId="0" applyFont="1" applyBorder="1" applyAlignment="1">
      <alignment wrapText="1"/>
    </xf>
    <xf numFmtId="0" fontId="35" fillId="0" borderId="15" xfId="0" applyFont="1" applyBorder="1" applyAlignment="1">
      <alignment horizontal="center"/>
    </xf>
    <xf numFmtId="44" fontId="35" fillId="0" borderId="15" xfId="0" applyNumberFormat="1" applyFont="1" applyBorder="1" applyAlignment="1">
      <alignment wrapText="1"/>
    </xf>
    <xf numFmtId="44" fontId="35" fillId="0" borderId="15" xfId="0" applyNumberFormat="1" applyFont="1" applyBorder="1" applyAlignment="1">
      <alignment horizontal="center"/>
    </xf>
    <xf numFmtId="49" fontId="35" fillId="0" borderId="15" xfId="0" applyNumberFormat="1" applyFont="1" applyBorder="1" applyAlignment="1">
      <alignment horizontal="center"/>
    </xf>
    <xf numFmtId="168" fontId="35" fillId="0" borderId="15" xfId="0" applyNumberFormat="1" applyFont="1" applyBorder="1" applyAlignment="1">
      <alignment horizontal="center"/>
    </xf>
    <xf numFmtId="0" fontId="37" fillId="0" borderId="0" xfId="0" applyFont="1"/>
    <xf numFmtId="40" fontId="16" fillId="0" borderId="0" xfId="0" applyNumberFormat="1" applyFont="1"/>
    <xf numFmtId="0" fontId="16" fillId="38" borderId="16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10" fontId="0" fillId="0" borderId="0" xfId="48" applyNumberFormat="1" applyFont="1"/>
    <xf numFmtId="9" fontId="0" fillId="0" borderId="0" xfId="48" applyNumberFormat="1" applyFont="1"/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6" fillId="0" borderId="0" xfId="0" applyFont="1" applyFill="1"/>
    <xf numFmtId="40" fontId="19" fillId="0" borderId="0" xfId="1" applyNumberFormat="1" applyFont="1" applyFill="1" applyAlignment="1">
      <alignment horizontal="right"/>
    </xf>
    <xf numFmtId="40" fontId="19" fillId="0" borderId="0" xfId="0" applyNumberFormat="1" applyFont="1" applyFill="1" applyAlignment="1">
      <alignment horizontal="right"/>
    </xf>
    <xf numFmtId="0" fontId="0" fillId="0" borderId="0" xfId="0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/>
    </xf>
    <xf numFmtId="40" fontId="20" fillId="0" borderId="11" xfId="0" applyNumberFormat="1" applyFont="1" applyFill="1" applyBorder="1" applyAlignment="1">
      <alignment horizontal="right"/>
    </xf>
    <xf numFmtId="10" fontId="32" fillId="0" borderId="0" xfId="48" applyNumberFormat="1" applyFont="1" applyAlignment="1">
      <alignment horizontal="center"/>
    </xf>
    <xf numFmtId="10" fontId="34" fillId="0" borderId="0" xfId="48" applyNumberFormat="1" applyFont="1" applyAlignment="1">
      <alignment horizontal="center"/>
    </xf>
    <xf numFmtId="10" fontId="20" fillId="33" borderId="10" xfId="48" applyNumberFormat="1" applyFont="1" applyFill="1" applyBorder="1" applyAlignment="1">
      <alignment horizontal="center" vertical="center" wrapText="1"/>
    </xf>
    <xf numFmtId="10" fontId="19" fillId="0" borderId="0" xfId="48" applyNumberFormat="1" applyFont="1" applyAlignment="1">
      <alignment horizontal="center"/>
    </xf>
    <xf numFmtId="10" fontId="20" fillId="0" borderId="0" xfId="48" applyNumberFormat="1" applyFont="1" applyAlignment="1">
      <alignment horizontal="center"/>
    </xf>
    <xf numFmtId="10" fontId="21" fillId="0" borderId="0" xfId="48" applyNumberFormat="1" applyFont="1" applyAlignment="1">
      <alignment horizontal="center"/>
    </xf>
    <xf numFmtId="10" fontId="0" fillId="0" borderId="0" xfId="48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44" applyFont="1" applyFill="1"/>
    <xf numFmtId="3" fontId="1" fillId="0" borderId="0" xfId="44" applyNumberFormat="1" applyFont="1" applyFill="1" applyAlignment="1">
      <alignment horizontal="center"/>
    </xf>
    <xf numFmtId="44" fontId="1" fillId="0" borderId="0" xfId="45" applyFont="1" applyFill="1" applyAlignment="1">
      <alignment horizontal="center"/>
    </xf>
    <xf numFmtId="3" fontId="16" fillId="0" borderId="0" xfId="44" applyNumberFormat="1" applyFont="1" applyFill="1" applyAlignment="1">
      <alignment horizontal="center"/>
    </xf>
    <xf numFmtId="0" fontId="40" fillId="0" borderId="0" xfId="44" applyFont="1" applyFill="1"/>
    <xf numFmtId="3" fontId="40" fillId="0" borderId="0" xfId="44" applyNumberFormat="1" applyFont="1" applyFill="1" applyAlignment="1">
      <alignment horizontal="center"/>
    </xf>
    <xf numFmtId="164" fontId="40" fillId="0" borderId="0" xfId="45" applyNumberFormat="1" applyFont="1" applyFill="1"/>
    <xf numFmtId="164" fontId="1" fillId="37" borderId="0" xfId="45" applyNumberFormat="1" applyFont="1" applyFill="1"/>
    <xf numFmtId="0" fontId="0" fillId="0" borderId="0" xfId="44" applyFont="1" applyFill="1" applyAlignment="1">
      <alignment horizontal="center"/>
    </xf>
    <xf numFmtId="0" fontId="19" fillId="0" borderId="0" xfId="0" applyFont="1" applyAlignment="1">
      <alignment horizontal="center"/>
    </xf>
    <xf numFmtId="167" fontId="0" fillId="0" borderId="0" xfId="0" applyNumberFormat="1"/>
    <xf numFmtId="167" fontId="0" fillId="36" borderId="0" xfId="0" applyNumberFormat="1" applyFill="1"/>
    <xf numFmtId="40" fontId="0" fillId="37" borderId="0" xfId="0" applyNumberFormat="1" applyFill="1"/>
    <xf numFmtId="40" fontId="16" fillId="37" borderId="16" xfId="0" applyNumberFormat="1" applyFont="1" applyFill="1" applyBorder="1"/>
    <xf numFmtId="40" fontId="19" fillId="37" borderId="0" xfId="0" applyNumberFormat="1" applyFont="1" applyFill="1" applyAlignment="1">
      <alignment horizontal="right"/>
    </xf>
    <xf numFmtId="44" fontId="1" fillId="0" borderId="0" xfId="45" applyFont="1" applyAlignment="1">
      <alignment horizontal="center" vertical="center" wrapText="1"/>
    </xf>
    <xf numFmtId="10" fontId="1" fillId="0" borderId="0" xfId="46" applyNumberFormat="1" applyFont="1"/>
    <xf numFmtId="171" fontId="0" fillId="0" borderId="0" xfId="0" applyNumberFormat="1"/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40" fontId="39" fillId="0" borderId="0" xfId="0" applyNumberFormat="1" applyFont="1" applyFill="1" applyAlignment="1">
      <alignment horizontal="center"/>
    </xf>
    <xf numFmtId="0" fontId="38" fillId="39" borderId="0" xfId="0" applyFont="1" applyFill="1" applyAlignment="1">
      <alignment horizontal="center" vertical="center"/>
    </xf>
    <xf numFmtId="0" fontId="29" fillId="0" borderId="0" xfId="44" applyFont="1" applyAlignment="1">
      <alignment horizontal="center" vertical="center"/>
    </xf>
    <xf numFmtId="172" fontId="16" fillId="38" borderId="16" xfId="0" applyNumberFormat="1" applyFont="1" applyFill="1" applyBorder="1"/>
    <xf numFmtId="0" fontId="1" fillId="0" borderId="0" xfId="44" applyFont="1" applyAlignment="1">
      <alignment horizontal="center" vertical="center" wrapText="1"/>
    </xf>
    <xf numFmtId="166" fontId="1" fillId="0" borderId="0" xfId="44" applyNumberFormat="1" applyFont="1" applyAlignment="1">
      <alignment horizontal="center" vertical="center" wrapText="1"/>
    </xf>
    <xf numFmtId="166" fontId="1" fillId="0" borderId="0" xfId="44" applyNumberFormat="1" applyFont="1"/>
    <xf numFmtId="8" fontId="1" fillId="0" borderId="0" xfId="44" applyNumberFormat="1" applyFont="1"/>
    <xf numFmtId="0" fontId="1" fillId="0" borderId="17" xfId="44" applyFont="1" applyBorder="1" applyAlignment="1">
      <alignment horizontal="center"/>
    </xf>
    <xf numFmtId="166" fontId="1" fillId="0" borderId="17" xfId="44" applyNumberFormat="1" applyFont="1" applyBorder="1"/>
    <xf numFmtId="44" fontId="1" fillId="0" borderId="17" xfId="44" applyNumberFormat="1" applyFont="1" applyBorder="1"/>
    <xf numFmtId="44" fontId="1" fillId="0" borderId="17" xfId="45" applyFont="1" applyBorder="1"/>
    <xf numFmtId="0" fontId="1" fillId="0" borderId="17" xfId="44" applyFont="1" applyBorder="1"/>
    <xf numFmtId="166" fontId="1" fillId="0" borderId="0" xfId="44" applyNumberFormat="1" applyFont="1" applyBorder="1"/>
    <xf numFmtId="44" fontId="1" fillId="0" borderId="0" xfId="44" applyNumberFormat="1" applyFont="1" applyBorder="1"/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7" builtinId="4"/>
    <cellStyle name="Currency 2" xfId="45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" xfId="48" builtinId="5"/>
    <cellStyle name="Percent 2" xfId="46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81</xdr:row>
      <xdr:rowOff>0</xdr:rowOff>
    </xdr:from>
    <xdr:to>
      <xdr:col>4</xdr:col>
      <xdr:colOff>476249</xdr:colOff>
      <xdr:row>82</xdr:row>
      <xdr:rowOff>23812</xdr:rowOff>
    </xdr:to>
    <xdr:cxnSp macro="">
      <xdr:nvCxnSpPr>
        <xdr:cNvPr id="2" name="Straight Arrow Connector 1"/>
        <xdr:cNvCxnSpPr/>
      </xdr:nvCxnSpPr>
      <xdr:spPr>
        <a:xfrm>
          <a:off x="6200774" y="15430500"/>
          <a:ext cx="47625" cy="2143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428624</xdr:colOff>
      <xdr:row>80</xdr:row>
      <xdr:rowOff>166687</xdr:rowOff>
    </xdr:from>
    <xdr:to>
      <xdr:col>5</xdr:col>
      <xdr:colOff>476249</xdr:colOff>
      <xdr:row>82</xdr:row>
      <xdr:rowOff>47625</xdr:rowOff>
    </xdr:to>
    <xdr:cxnSp macro="">
      <xdr:nvCxnSpPr>
        <xdr:cNvPr id="3" name="Straight Arrow Connector 2"/>
        <xdr:cNvCxnSpPr/>
      </xdr:nvCxnSpPr>
      <xdr:spPr>
        <a:xfrm flipH="1">
          <a:off x="6981824" y="15406687"/>
          <a:ext cx="47625" cy="261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PROPERTIES/Budgets/2015%20Budget-%202016%20Proforma/New%20Template%20Budgets/Rutherford%20Preliminary%20Budget%20NT%202016%20TEMP%20REV%2004%2001%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p Budget 2015"/>
      <sheetName val="Op Budget 2016"/>
      <sheetName val="Assumptions"/>
      <sheetName val="2015 Dev Costs"/>
      <sheetName val="Broker's Comm"/>
      <sheetName val="Min Rent 2015"/>
      <sheetName val="CAM 2015"/>
      <sheetName val="RETaxes 2015"/>
      <sheetName val="Ins 2015"/>
      <sheetName val="Min Rent 2016"/>
      <sheetName val="CAM 2016"/>
      <sheetName val="RETaxes 2016"/>
      <sheetName val="Ins 2016"/>
    </sheetNames>
    <sheetDataSet>
      <sheetData sheetId="0"/>
      <sheetData sheetId="1">
        <row r="13">
          <cell r="Q13">
            <v>588.5</v>
          </cell>
        </row>
        <row r="14">
          <cell r="Q14">
            <v>995.1</v>
          </cell>
        </row>
        <row r="15">
          <cell r="Q15">
            <v>3610.5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6981.2</v>
          </cell>
        </row>
        <row r="20">
          <cell r="Q20">
            <v>1500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1093.5999999999999</v>
          </cell>
        </row>
        <row r="24">
          <cell r="Q24">
            <v>17403.190000000002</v>
          </cell>
        </row>
        <row r="25">
          <cell r="Q25">
            <v>16309.830000000002</v>
          </cell>
        </row>
        <row r="26">
          <cell r="Q26">
            <v>3830.1099999999997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16278.9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88655</v>
          </cell>
        </row>
        <row r="33">
          <cell r="Q33">
            <v>1652</v>
          </cell>
        </row>
        <row r="34">
          <cell r="Q34">
            <v>5019.4699999999993</v>
          </cell>
        </row>
        <row r="35">
          <cell r="Q35">
            <v>0</v>
          </cell>
        </row>
        <row r="36">
          <cell r="Q36">
            <v>0</v>
          </cell>
        </row>
        <row r="37">
          <cell r="Q37">
            <v>0</v>
          </cell>
        </row>
        <row r="38">
          <cell r="Q38">
            <v>0</v>
          </cell>
        </row>
        <row r="39">
          <cell r="Q39">
            <v>0</v>
          </cell>
        </row>
        <row r="40">
          <cell r="Q40">
            <v>10963.33</v>
          </cell>
        </row>
        <row r="41">
          <cell r="Q41">
            <v>16965.75</v>
          </cell>
        </row>
        <row r="42">
          <cell r="Q42">
            <v>12170</v>
          </cell>
        </row>
        <row r="43">
          <cell r="Q43">
            <v>0</v>
          </cell>
        </row>
        <row r="44">
          <cell r="Q44">
            <v>0</v>
          </cell>
        </row>
        <row r="45">
          <cell r="Q45">
            <v>1058.8900000000001</v>
          </cell>
        </row>
        <row r="46">
          <cell r="Q46">
            <v>194.67000000000002</v>
          </cell>
        </row>
        <row r="47">
          <cell r="Q47">
            <v>681.67000000000007</v>
          </cell>
        </row>
        <row r="48">
          <cell r="Q48">
            <v>0</v>
          </cell>
        </row>
        <row r="49">
          <cell r="Q49">
            <v>251</v>
          </cell>
        </row>
        <row r="50">
          <cell r="Q50">
            <v>0</v>
          </cell>
        </row>
        <row r="51">
          <cell r="Q51">
            <v>98.06</v>
          </cell>
        </row>
        <row r="52">
          <cell r="Q52">
            <v>121.74000000000001</v>
          </cell>
        </row>
        <row r="56">
          <cell r="Q56">
            <v>52312.03</v>
          </cell>
        </row>
        <row r="73">
          <cell r="P73">
            <v>84180.56</v>
          </cell>
        </row>
      </sheetData>
      <sheetData sheetId="2"/>
      <sheetData sheetId="3">
        <row r="3">
          <cell r="B3">
            <v>1.49E-2</v>
          </cell>
          <cell r="I3">
            <v>5763.2800000000007</v>
          </cell>
          <cell r="J3">
            <v>13333.33</v>
          </cell>
        </row>
        <row r="4">
          <cell r="I4">
            <v>5782.49</v>
          </cell>
          <cell r="J4">
            <v>13314.12</v>
          </cell>
        </row>
        <row r="5">
          <cell r="B5">
            <v>0</v>
          </cell>
          <cell r="I5">
            <v>5801.76</v>
          </cell>
          <cell r="J5">
            <v>13294.85</v>
          </cell>
        </row>
        <row r="6">
          <cell r="I6">
            <v>5821.1</v>
          </cell>
          <cell r="J6">
            <v>13275.51</v>
          </cell>
        </row>
        <row r="7">
          <cell r="I7">
            <v>5840.51</v>
          </cell>
          <cell r="J7">
            <v>13256.1</v>
          </cell>
        </row>
        <row r="8">
          <cell r="I8">
            <v>5859.9700000000012</v>
          </cell>
          <cell r="J8">
            <v>13236.64</v>
          </cell>
        </row>
        <row r="9">
          <cell r="I9">
            <v>5879.51</v>
          </cell>
          <cell r="J9">
            <v>13217.1</v>
          </cell>
        </row>
        <row r="10">
          <cell r="I10">
            <v>5899.1100000000006</v>
          </cell>
          <cell r="J10">
            <v>13197.5</v>
          </cell>
          <cell r="P10"/>
        </row>
        <row r="11">
          <cell r="B11">
            <v>13333.333333333334</v>
          </cell>
          <cell r="I11">
            <v>5918.77</v>
          </cell>
          <cell r="J11">
            <v>13177.84</v>
          </cell>
          <cell r="P11">
            <v>13855</v>
          </cell>
        </row>
        <row r="12">
          <cell r="P12">
            <v>13855</v>
          </cell>
        </row>
        <row r="19">
          <cell r="P19"/>
        </row>
        <row r="20">
          <cell r="P20">
            <v>14493</v>
          </cell>
        </row>
        <row r="21">
          <cell r="P21">
            <v>14493</v>
          </cell>
        </row>
        <row r="28">
          <cell r="P28"/>
        </row>
        <row r="29">
          <cell r="P29">
            <v>10681</v>
          </cell>
        </row>
        <row r="30">
          <cell r="P30">
            <v>10681</v>
          </cell>
        </row>
        <row r="31">
          <cell r="P31">
            <v>10681</v>
          </cell>
        </row>
        <row r="34">
          <cell r="P34">
            <v>35000</v>
          </cell>
        </row>
      </sheetData>
      <sheetData sheetId="4"/>
      <sheetData sheetId="5">
        <row r="14">
          <cell r="K14">
            <v>9137</v>
          </cell>
          <cell r="L14">
            <v>0</v>
          </cell>
          <cell r="M14">
            <v>0</v>
          </cell>
          <cell r="N14">
            <v>15419</v>
          </cell>
          <cell r="O14">
            <v>4204.8355000000001</v>
          </cell>
          <cell r="P14">
            <v>1773.9150025162505</v>
          </cell>
          <cell r="Q14">
            <v>15419</v>
          </cell>
          <cell r="R14">
            <v>0</v>
          </cell>
          <cell r="S14">
            <v>0</v>
          </cell>
          <cell r="T14">
            <v>1773.9150025162505</v>
          </cell>
          <cell r="U14">
            <v>4204.8355000000001</v>
          </cell>
          <cell r="V14">
            <v>3547.830005032501</v>
          </cell>
        </row>
      </sheetData>
      <sheetData sheetId="6">
        <row r="15">
          <cell r="C15">
            <v>21897</v>
          </cell>
        </row>
      </sheetData>
      <sheetData sheetId="7"/>
      <sheetData sheetId="8"/>
      <sheetData sheetId="9"/>
      <sheetData sheetId="10">
        <row r="16">
          <cell r="E16">
            <v>25525</v>
          </cell>
          <cell r="F16">
            <v>25525</v>
          </cell>
          <cell r="G16">
            <v>25525</v>
          </cell>
          <cell r="H16">
            <v>25525</v>
          </cell>
          <cell r="I16">
            <v>26717.258064516129</v>
          </cell>
          <cell r="J16">
            <v>28165</v>
          </cell>
          <cell r="K16">
            <v>29515</v>
          </cell>
          <cell r="L16">
            <v>29515</v>
          </cell>
          <cell r="M16">
            <v>30628.75</v>
          </cell>
          <cell r="N16">
            <v>31742.5</v>
          </cell>
          <cell r="O16">
            <v>33970</v>
          </cell>
          <cell r="P16">
            <v>33970</v>
          </cell>
        </row>
      </sheetData>
      <sheetData sheetId="11">
        <row r="16">
          <cell r="E16">
            <v>2145</v>
          </cell>
          <cell r="F16">
            <v>2145</v>
          </cell>
          <cell r="G16">
            <v>2145</v>
          </cell>
          <cell r="H16">
            <v>2145</v>
          </cell>
          <cell r="I16">
            <v>2300.3548387096776</v>
          </cell>
          <cell r="J16">
            <v>2489</v>
          </cell>
          <cell r="K16">
            <v>2489</v>
          </cell>
          <cell r="L16">
            <v>2489</v>
          </cell>
          <cell r="M16">
            <v>2646</v>
          </cell>
          <cell r="N16">
            <v>2803</v>
          </cell>
          <cell r="O16">
            <v>3117</v>
          </cell>
          <cell r="P16">
            <v>3117</v>
          </cell>
        </row>
      </sheetData>
      <sheetData sheetId="12">
        <row r="16">
          <cell r="E16">
            <v>6007</v>
          </cell>
          <cell r="F16">
            <v>6007</v>
          </cell>
          <cell r="G16">
            <v>6007</v>
          </cell>
          <cell r="H16">
            <v>6007</v>
          </cell>
          <cell r="I16">
            <v>6200.7419354838712</v>
          </cell>
          <cell r="J16">
            <v>6436</v>
          </cell>
          <cell r="K16">
            <v>6436</v>
          </cell>
          <cell r="L16">
            <v>6436</v>
          </cell>
          <cell r="M16">
            <v>6632</v>
          </cell>
          <cell r="N16">
            <v>6828</v>
          </cell>
          <cell r="O16">
            <v>7220</v>
          </cell>
          <cell r="P16">
            <v>7220</v>
          </cell>
        </row>
      </sheetData>
      <sheetData sheetId="13">
        <row r="16">
          <cell r="D16">
            <v>390</v>
          </cell>
          <cell r="E16">
            <v>390</v>
          </cell>
          <cell r="F16">
            <v>390</v>
          </cell>
          <cell r="G16">
            <v>390</v>
          </cell>
          <cell r="H16">
            <v>390</v>
          </cell>
          <cell r="I16">
            <v>390</v>
          </cell>
          <cell r="J16">
            <v>390</v>
          </cell>
          <cell r="K16">
            <v>390</v>
          </cell>
          <cell r="L16">
            <v>390</v>
          </cell>
          <cell r="M16">
            <v>390</v>
          </cell>
          <cell r="N16">
            <v>390</v>
          </cell>
          <cell r="O16">
            <v>390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125"/>
  <sheetViews>
    <sheetView workbookViewId="0">
      <selection activeCell="A86" sqref="A86:B88"/>
    </sheetView>
  </sheetViews>
  <sheetFormatPr defaultRowHeight="15" x14ac:dyDescent="0.25"/>
  <cols>
    <col min="1" max="1" width="11.42578125" customWidth="1"/>
    <col min="2" max="2" width="37.140625" customWidth="1"/>
    <col min="3" max="4" width="17.140625" customWidth="1"/>
    <col min="5" max="5" width="1.7109375" customWidth="1"/>
    <col min="6" max="7" width="17.140625" customWidth="1"/>
  </cols>
  <sheetData>
    <row r="1" spans="1:9" x14ac:dyDescent="0.25">
      <c r="A1" s="176" t="s">
        <v>162</v>
      </c>
      <c r="B1" s="176"/>
      <c r="C1" s="176"/>
      <c r="D1" s="176"/>
      <c r="E1" s="176"/>
      <c r="F1" s="176"/>
      <c r="G1" s="176"/>
    </row>
    <row r="2" spans="1:9" ht="15.75" x14ac:dyDescent="0.25">
      <c r="A2" s="177" t="s">
        <v>195</v>
      </c>
      <c r="B2" s="177"/>
      <c r="C2" s="177"/>
      <c r="D2" s="177"/>
      <c r="E2" s="177"/>
      <c r="F2" s="177"/>
      <c r="G2" s="177"/>
    </row>
    <row r="3" spans="1:9" x14ac:dyDescent="0.25">
      <c r="A3" s="176"/>
      <c r="B3" s="176"/>
      <c r="C3" s="176"/>
      <c r="D3" s="176"/>
      <c r="E3" s="176"/>
      <c r="F3" s="176"/>
      <c r="G3" s="176"/>
    </row>
    <row r="4" spans="1:9" x14ac:dyDescent="0.25">
      <c r="A4" s="176"/>
      <c r="B4" s="176"/>
      <c r="C4" s="176"/>
      <c r="D4" s="176"/>
      <c r="E4" s="176"/>
      <c r="F4" s="176"/>
      <c r="G4" s="176"/>
    </row>
    <row r="5" spans="1:9" s="11" customFormat="1" ht="21.75" thickBot="1" x14ac:dyDescent="0.3">
      <c r="A5" s="10"/>
      <c r="B5" s="10"/>
      <c r="C5" s="10" t="s">
        <v>197</v>
      </c>
      <c r="D5" s="10" t="s">
        <v>196</v>
      </c>
      <c r="E5" s="10"/>
      <c r="F5" s="10" t="s">
        <v>198</v>
      </c>
      <c r="G5" s="10" t="s">
        <v>199</v>
      </c>
    </row>
    <row r="6" spans="1:9" x14ac:dyDescent="0.25">
      <c r="A6" s="1"/>
      <c r="B6" s="5"/>
      <c r="C6" s="5"/>
      <c r="D6" s="1"/>
      <c r="E6" s="1"/>
      <c r="F6" s="1"/>
      <c r="G6" s="1"/>
    </row>
    <row r="7" spans="1:9" x14ac:dyDescent="0.25">
      <c r="A7" s="1" t="s">
        <v>1</v>
      </c>
      <c r="B7" s="5" t="s">
        <v>2</v>
      </c>
      <c r="C7" s="5"/>
      <c r="D7" s="9"/>
      <c r="E7" s="9"/>
      <c r="F7" s="9"/>
      <c r="G7" s="9"/>
    </row>
    <row r="8" spans="1:9" x14ac:dyDescent="0.25">
      <c r="A8" s="1"/>
      <c r="B8" s="5"/>
      <c r="C8" s="5"/>
      <c r="D8" s="1"/>
      <c r="E8" s="1"/>
      <c r="F8" s="1"/>
      <c r="G8" s="1"/>
    </row>
    <row r="9" spans="1:9" x14ac:dyDescent="0.25">
      <c r="A9" s="1" t="s">
        <v>3</v>
      </c>
      <c r="B9" s="5" t="s">
        <v>4</v>
      </c>
      <c r="C9" s="5"/>
      <c r="D9" s="9"/>
      <c r="E9" s="9"/>
      <c r="F9" s="9"/>
      <c r="G9" s="9"/>
    </row>
    <row r="10" spans="1:9" x14ac:dyDescent="0.25">
      <c r="A10" s="1" t="s">
        <v>5</v>
      </c>
      <c r="B10" s="5" t="s">
        <v>6</v>
      </c>
      <c r="C10" s="4"/>
      <c r="D10" s="4">
        <v>76575</v>
      </c>
      <c r="E10" s="4"/>
      <c r="F10" s="4">
        <f>_xlfn.IFNA(VLOOKUP(A10,'2017 Projected'!$A$10:$P$184,3,FALSE),)</f>
        <v>636369</v>
      </c>
      <c r="G10" s="4">
        <v>0</v>
      </c>
      <c r="I10" s="1"/>
    </row>
    <row r="11" spans="1:9" ht="15.75" thickBot="1" x14ac:dyDescent="0.3">
      <c r="A11" s="1" t="s">
        <v>7</v>
      </c>
      <c r="B11" s="5"/>
      <c r="C11" s="1"/>
      <c r="D11" s="1"/>
      <c r="E11" s="1"/>
      <c r="F11" s="4">
        <f>_xlfn.IFNA(VLOOKUP(A11,'2017 Projected'!$A$10:$P$184,3,FALSE),)</f>
        <v>0</v>
      </c>
      <c r="G11" s="1"/>
      <c r="I11" s="1"/>
    </row>
    <row r="12" spans="1:9" x14ac:dyDescent="0.25">
      <c r="A12" s="1" t="s">
        <v>9</v>
      </c>
      <c r="B12" s="5" t="s">
        <v>10</v>
      </c>
      <c r="C12" s="8"/>
      <c r="D12" s="8">
        <v>76575</v>
      </c>
      <c r="E12" s="8"/>
      <c r="F12" s="8">
        <v>76575</v>
      </c>
      <c r="G12" s="8">
        <v>0</v>
      </c>
      <c r="I12" s="1"/>
    </row>
    <row r="13" spans="1:9" x14ac:dyDescent="0.25">
      <c r="A13" s="1"/>
      <c r="B13" s="5"/>
      <c r="C13" s="1"/>
      <c r="D13" s="1"/>
      <c r="E13" s="1"/>
      <c r="F13" s="1"/>
      <c r="G13" s="1"/>
      <c r="I13" s="1"/>
    </row>
    <row r="14" spans="1:9" x14ac:dyDescent="0.25">
      <c r="A14" s="1" t="s">
        <v>11</v>
      </c>
      <c r="B14" s="5" t="s">
        <v>12</v>
      </c>
      <c r="C14" s="9"/>
      <c r="D14" s="9"/>
      <c r="E14" s="9"/>
      <c r="F14" s="9"/>
      <c r="G14" s="9"/>
      <c r="I14" s="1"/>
    </row>
    <row r="15" spans="1:9" x14ac:dyDescent="0.25">
      <c r="A15" s="1" t="s">
        <v>13</v>
      </c>
      <c r="B15" s="5" t="str">
        <f>VLOOKUP(A15,'2017 Projected'!$A$9:$B$184,2,FALSE)</f>
        <v> REIMB. - UTILITIES</v>
      </c>
      <c r="C15" s="9"/>
      <c r="D15" s="9"/>
      <c r="E15" s="9"/>
      <c r="F15" s="4">
        <f>_xlfn.IFNA(VLOOKUP(A15,'2017 Projected'!$A$10:$P$184,3,FALSE),)</f>
        <v>0</v>
      </c>
      <c r="G15" s="9"/>
      <c r="I15" s="1"/>
    </row>
    <row r="16" spans="1:9" x14ac:dyDescent="0.25">
      <c r="A16" s="1" t="s">
        <v>15</v>
      </c>
      <c r="B16" s="5" t="s">
        <v>16</v>
      </c>
      <c r="C16" s="4"/>
      <c r="D16" s="4">
        <v>7342.83</v>
      </c>
      <c r="E16" s="4"/>
      <c r="F16" s="4">
        <f>_xlfn.IFNA(VLOOKUP(A16,'2017 Projected'!$A$10:$P$184,3,FALSE),)</f>
        <v>154545</v>
      </c>
      <c r="G16" s="4">
        <v>0</v>
      </c>
      <c r="I16" s="1"/>
    </row>
    <row r="17" spans="1:9" x14ac:dyDescent="0.25">
      <c r="A17" s="1" t="s">
        <v>17</v>
      </c>
      <c r="B17" s="5" t="s">
        <v>18</v>
      </c>
      <c r="C17" s="4"/>
      <c r="D17" s="4">
        <v>1171.92</v>
      </c>
      <c r="E17" s="4"/>
      <c r="F17" s="4">
        <f>_xlfn.IFNA(VLOOKUP(A17,'2017 Projected'!$A$10:$P$184,3,FALSE),)</f>
        <v>3743</v>
      </c>
      <c r="G17" s="4">
        <v>0</v>
      </c>
      <c r="I17" s="1"/>
    </row>
    <row r="18" spans="1:9" x14ac:dyDescent="0.25">
      <c r="A18" s="1" t="s">
        <v>19</v>
      </c>
      <c r="B18" s="5" t="s">
        <v>20</v>
      </c>
      <c r="C18" s="4"/>
      <c r="D18" s="4">
        <v>18028.740000000002</v>
      </c>
      <c r="E18" s="4"/>
      <c r="F18" s="4">
        <f>_xlfn.IFNA(VLOOKUP(A18,'2017 Projected'!$A$10:$P$184,3,FALSE),)</f>
        <v>165334</v>
      </c>
      <c r="G18" s="4">
        <v>0</v>
      </c>
      <c r="I18" s="1"/>
    </row>
    <row r="19" spans="1:9" x14ac:dyDescent="0.25">
      <c r="A19" s="1" t="s">
        <v>21</v>
      </c>
      <c r="B19" s="5" t="str">
        <f>VLOOKUP(A19,'2017 Projected'!$A$9:$B$184,2,FALSE)</f>
        <v> CAM RECOVERY</v>
      </c>
      <c r="C19" s="4"/>
      <c r="D19" s="4"/>
      <c r="E19" s="4"/>
      <c r="F19" s="4">
        <f>_xlfn.IFNA(VLOOKUP(A19,'2017 Projected'!$A$10:$P$184,3,FALSE),)</f>
        <v>0</v>
      </c>
      <c r="G19" s="4"/>
      <c r="I19" s="1"/>
    </row>
    <row r="20" spans="1:9" x14ac:dyDescent="0.25">
      <c r="A20" s="1" t="s">
        <v>23</v>
      </c>
      <c r="B20" s="5" t="str">
        <f>VLOOKUP(A20,'2017 Projected'!$A$9:$B$184,2,FALSE)</f>
        <v> INSURANCE RECOVERY</v>
      </c>
      <c r="C20" s="4"/>
      <c r="D20" s="4"/>
      <c r="E20" s="4"/>
      <c r="F20" s="4">
        <f>_xlfn.IFNA(VLOOKUP(A20,'2017 Projected'!$A$10:$P$184,3,FALSE),)</f>
        <v>0</v>
      </c>
      <c r="G20" s="4"/>
      <c r="I20" s="1"/>
    </row>
    <row r="21" spans="1:9" x14ac:dyDescent="0.25">
      <c r="A21" s="1" t="s">
        <v>25</v>
      </c>
      <c r="B21" s="5" t="str">
        <f>VLOOKUP(A21,'2017 Projected'!$A$9:$B$184,2,FALSE)</f>
        <v> TAX RECOVERY</v>
      </c>
      <c r="C21" s="4"/>
      <c r="D21" s="4"/>
      <c r="E21" s="4"/>
      <c r="F21" s="4">
        <f>_xlfn.IFNA(VLOOKUP(A21,'2017 Projected'!$A$10:$P$184,3,FALSE),)</f>
        <v>0</v>
      </c>
      <c r="G21" s="4"/>
      <c r="I21" s="1"/>
    </row>
    <row r="22" spans="1:9" ht="15.75" thickBot="1" x14ac:dyDescent="0.3">
      <c r="A22" s="1" t="s">
        <v>27</v>
      </c>
      <c r="B22" s="5" t="s">
        <v>28</v>
      </c>
      <c r="C22" s="4"/>
      <c r="D22" s="4">
        <v>1201.32</v>
      </c>
      <c r="E22" s="4"/>
      <c r="F22" s="4">
        <f>_xlfn.IFNA(VLOOKUP(A22,'2017 Projected'!$A$10:$P$184,3,FALSE),)</f>
        <v>0</v>
      </c>
      <c r="G22" s="4">
        <v>0</v>
      </c>
      <c r="I22" s="1"/>
    </row>
    <row r="23" spans="1:9" ht="15.75" thickBot="1" x14ac:dyDescent="0.3">
      <c r="A23" s="1" t="s">
        <v>29</v>
      </c>
      <c r="B23" s="5" t="s">
        <v>30</v>
      </c>
      <c r="C23" s="8"/>
      <c r="D23" s="8">
        <v>27744.81</v>
      </c>
      <c r="E23" s="8"/>
      <c r="F23" s="4">
        <f>_xlfn.IFNA(VLOOKUP(A23,'2017 Projected'!$A$10:$P$184,3,FALSE),)</f>
        <v>323622</v>
      </c>
      <c r="G23" s="8">
        <v>0</v>
      </c>
      <c r="I23" s="1"/>
    </row>
    <row r="24" spans="1:9" x14ac:dyDescent="0.25">
      <c r="A24" s="1" t="s">
        <v>39</v>
      </c>
      <c r="B24" s="5" t="s">
        <v>40</v>
      </c>
      <c r="C24" s="8"/>
      <c r="D24" s="8">
        <v>104319.81</v>
      </c>
      <c r="E24" s="8"/>
      <c r="F24" s="8">
        <v>104319.81</v>
      </c>
      <c r="G24" s="8">
        <v>0</v>
      </c>
      <c r="I24" s="1"/>
    </row>
    <row r="25" spans="1:9" x14ac:dyDescent="0.25">
      <c r="A25" s="1"/>
      <c r="B25" s="5"/>
      <c r="C25" s="1"/>
      <c r="D25" s="1"/>
      <c r="E25" s="1"/>
      <c r="F25" s="1"/>
      <c r="G25" s="1"/>
      <c r="I25" s="1"/>
    </row>
    <row r="26" spans="1:9" x14ac:dyDescent="0.25">
      <c r="A26" s="1" t="s">
        <v>41</v>
      </c>
      <c r="B26" s="5" t="s">
        <v>42</v>
      </c>
      <c r="C26" s="9"/>
      <c r="D26" s="9"/>
      <c r="E26" s="9"/>
      <c r="F26" s="9"/>
      <c r="G26" s="9"/>
      <c r="I26" s="1"/>
    </row>
    <row r="27" spans="1:9" x14ac:dyDescent="0.25">
      <c r="A27" s="1" t="s">
        <v>43</v>
      </c>
      <c r="B27" s="5" t="s">
        <v>44</v>
      </c>
      <c r="C27" s="9"/>
      <c r="D27" s="9"/>
      <c r="E27" s="9"/>
      <c r="F27" s="9"/>
      <c r="G27" s="9"/>
      <c r="I27" s="1"/>
    </row>
    <row r="28" spans="1:9" x14ac:dyDescent="0.25">
      <c r="A28" s="1" t="s">
        <v>194</v>
      </c>
      <c r="B28" s="5" t="s">
        <v>193</v>
      </c>
      <c r="C28" s="4"/>
      <c r="D28" s="4">
        <v>240.75</v>
      </c>
      <c r="E28" s="4"/>
      <c r="F28" s="4">
        <f>_xlfn.IFNA(VLOOKUP(A28,'2017 Projected'!$A$10:$P$184,3,FALSE),)</f>
        <v>11770</v>
      </c>
      <c r="G28" s="4">
        <v>0</v>
      </c>
      <c r="I28" s="1"/>
    </row>
    <row r="29" spans="1:9" x14ac:dyDescent="0.25">
      <c r="A29" s="1" t="s">
        <v>49</v>
      </c>
      <c r="B29" s="5" t="s">
        <v>50</v>
      </c>
      <c r="C29" s="4"/>
      <c r="D29" s="4">
        <v>4280</v>
      </c>
      <c r="E29" s="4"/>
      <c r="F29" s="4">
        <f>_xlfn.IFNA(VLOOKUP(A29,'2017 Projected'!$A$10:$P$184,3,FALSE),)</f>
        <v>10500</v>
      </c>
      <c r="G29" s="4">
        <v>0</v>
      </c>
      <c r="I29" s="1"/>
    </row>
    <row r="30" spans="1:9" x14ac:dyDescent="0.25">
      <c r="A30" s="1" t="s">
        <v>192</v>
      </c>
      <c r="B30" s="5" t="s">
        <v>191</v>
      </c>
      <c r="C30" s="4"/>
      <c r="D30" s="4">
        <v>22.61</v>
      </c>
      <c r="E30" s="4"/>
      <c r="F30" s="4">
        <f>_xlfn.IFNA(VLOOKUP(A30,'2017 Projected'!$A$10:$P$184,3,FALSE),)</f>
        <v>0</v>
      </c>
      <c r="G30" s="4">
        <v>0</v>
      </c>
      <c r="I30" s="1"/>
    </row>
    <row r="31" spans="1:9" x14ac:dyDescent="0.25">
      <c r="A31" s="1" t="s">
        <v>53</v>
      </c>
      <c r="B31" s="5" t="s">
        <v>54</v>
      </c>
      <c r="C31" s="4"/>
      <c r="D31" s="4">
        <v>2450.0700000000002</v>
      </c>
      <c r="E31" s="4"/>
      <c r="F31" s="4">
        <f>_xlfn.IFNA(VLOOKUP(A31,'2017 Projected'!$A$10:$P$184,3,FALSE),)</f>
        <v>30000</v>
      </c>
      <c r="G31" s="4">
        <v>0</v>
      </c>
      <c r="I31" s="1"/>
    </row>
    <row r="32" spans="1:9" x14ac:dyDescent="0.25">
      <c r="A32" s="1" t="s">
        <v>55</v>
      </c>
      <c r="B32" s="5" t="s">
        <v>56</v>
      </c>
      <c r="C32" s="4"/>
      <c r="D32" s="4">
        <v>1460.72</v>
      </c>
      <c r="E32" s="4"/>
      <c r="F32" s="4">
        <f>_xlfn.IFNA(VLOOKUP(A32,'2017 Projected'!$A$10:$P$184,3,FALSE),)</f>
        <v>7851</v>
      </c>
      <c r="G32" s="4">
        <v>0</v>
      </c>
      <c r="I32" s="1"/>
    </row>
    <row r="33" spans="1:9" ht="15.75" thickBot="1" x14ac:dyDescent="0.3">
      <c r="A33" s="1" t="s">
        <v>57</v>
      </c>
      <c r="B33" s="5" t="s">
        <v>58</v>
      </c>
      <c r="C33" s="4"/>
      <c r="D33" s="4">
        <v>1252.0899999999999</v>
      </c>
      <c r="E33" s="4"/>
      <c r="F33" s="4">
        <f>_xlfn.IFNA(VLOOKUP(A33,'2017 Projected'!$A$10:$P$184,3,FALSE),)</f>
        <v>9526</v>
      </c>
      <c r="G33" s="4">
        <v>0</v>
      </c>
      <c r="I33" s="1"/>
    </row>
    <row r="34" spans="1:9" x14ac:dyDescent="0.25">
      <c r="A34" s="1" t="s">
        <v>59</v>
      </c>
      <c r="B34" s="5" t="s">
        <v>60</v>
      </c>
      <c r="C34" s="8"/>
      <c r="D34" s="8">
        <v>9706.24</v>
      </c>
      <c r="E34" s="8"/>
      <c r="F34" s="8">
        <v>9706.24</v>
      </c>
      <c r="G34" s="8">
        <v>0</v>
      </c>
      <c r="I34" s="1"/>
    </row>
    <row r="35" spans="1:9" x14ac:dyDescent="0.25">
      <c r="A35" s="1" t="s">
        <v>61</v>
      </c>
      <c r="B35" s="5" t="s">
        <v>62</v>
      </c>
      <c r="C35" s="9"/>
      <c r="D35" s="9"/>
      <c r="E35" s="9"/>
      <c r="F35" s="9"/>
      <c r="G35" s="9"/>
      <c r="I35" s="1"/>
    </row>
    <row r="36" spans="1:9" x14ac:dyDescent="0.25">
      <c r="A36" s="1"/>
      <c r="B36" s="5"/>
      <c r="C36" s="9"/>
      <c r="D36" s="9"/>
      <c r="E36" s="9"/>
      <c r="F36" s="9"/>
      <c r="G36" s="9"/>
      <c r="I36" s="1"/>
    </row>
    <row r="37" spans="1:9" x14ac:dyDescent="0.25">
      <c r="A37" s="1"/>
      <c r="B37" s="5"/>
      <c r="C37" s="9"/>
      <c r="D37" s="9"/>
      <c r="E37" s="9"/>
      <c r="F37" s="9"/>
      <c r="G37" s="9"/>
      <c r="I37" s="1"/>
    </row>
    <row r="38" spans="1:9" x14ac:dyDescent="0.25">
      <c r="A38" s="1"/>
      <c r="B38" s="5"/>
      <c r="C38" s="9"/>
      <c r="D38" s="9"/>
      <c r="E38" s="9"/>
      <c r="F38" s="9"/>
      <c r="G38" s="9"/>
      <c r="I38" s="1"/>
    </row>
    <row r="39" spans="1:9" x14ac:dyDescent="0.25">
      <c r="A39" s="1"/>
      <c r="B39" s="5"/>
      <c r="C39" s="9"/>
      <c r="D39" s="9"/>
      <c r="E39" s="9"/>
      <c r="F39" s="9"/>
      <c r="G39" s="9"/>
      <c r="I39" s="1"/>
    </row>
    <row r="40" spans="1:9" x14ac:dyDescent="0.25">
      <c r="A40" s="1" t="s">
        <v>73</v>
      </c>
      <c r="B40" s="5" t="s">
        <v>74</v>
      </c>
      <c r="C40" s="4"/>
      <c r="D40" s="4">
        <v>570</v>
      </c>
      <c r="E40" s="4"/>
      <c r="F40" s="4">
        <f>_xlfn.IFNA(VLOOKUP(A40,'2017 Projected'!$A$10:$P$184,3,FALSE),)</f>
        <v>16960</v>
      </c>
      <c r="G40" s="4">
        <v>0</v>
      </c>
      <c r="I40" s="1"/>
    </row>
    <row r="41" spans="1:9" x14ac:dyDescent="0.25">
      <c r="A41" s="1" t="s">
        <v>190</v>
      </c>
      <c r="B41" s="5" t="s">
        <v>189</v>
      </c>
      <c r="C41" s="4"/>
      <c r="D41" s="4">
        <v>-251.33</v>
      </c>
      <c r="E41" s="4"/>
      <c r="F41" s="4">
        <f>_xlfn.IFNA(VLOOKUP(A41,'2017 Projected'!$A$10:$P$184,3,FALSE),)</f>
        <v>0</v>
      </c>
      <c r="G41" s="4">
        <v>0</v>
      </c>
      <c r="I41" s="1"/>
    </row>
    <row r="42" spans="1:9" x14ac:dyDescent="0.25">
      <c r="A42" s="1" t="s">
        <v>79</v>
      </c>
      <c r="B42" s="5" t="s">
        <v>80</v>
      </c>
      <c r="C42" s="4"/>
      <c r="D42" s="4">
        <v>42.49</v>
      </c>
      <c r="E42" s="4"/>
      <c r="F42" s="4">
        <f>_xlfn.IFNA(VLOOKUP(A42,'2017 Projected'!$A$10:$P$184,3,FALSE),)</f>
        <v>0</v>
      </c>
      <c r="G42" s="4">
        <v>0</v>
      </c>
      <c r="I42" s="1"/>
    </row>
    <row r="43" spans="1:9" x14ac:dyDescent="0.25">
      <c r="A43" s="1" t="s">
        <v>81</v>
      </c>
      <c r="B43" s="5" t="s">
        <v>82</v>
      </c>
      <c r="C43" s="4"/>
      <c r="D43" s="4">
        <v>372.65</v>
      </c>
      <c r="E43" s="4"/>
      <c r="F43" s="4">
        <f>_xlfn.IFNA(VLOOKUP(A43,'2017 Projected'!$A$10:$P$184,3,FALSE),)</f>
        <v>0</v>
      </c>
      <c r="G43" s="4">
        <v>0</v>
      </c>
      <c r="I43" s="1"/>
    </row>
    <row r="44" spans="1:9" x14ac:dyDescent="0.25">
      <c r="A44" s="1" t="s">
        <v>85</v>
      </c>
      <c r="B44" s="5" t="s">
        <v>86</v>
      </c>
      <c r="C44" s="4"/>
      <c r="D44" s="4">
        <v>15</v>
      </c>
      <c r="E44" s="4"/>
      <c r="F44" s="4">
        <f>_xlfn.IFNA(VLOOKUP(A44,'2017 Projected'!$A$10:$P$184,3,FALSE),)</f>
        <v>0</v>
      </c>
      <c r="G44" s="4">
        <v>0</v>
      </c>
      <c r="I44" s="1"/>
    </row>
    <row r="45" spans="1:9" x14ac:dyDescent="0.25">
      <c r="A45" s="1" t="s">
        <v>87</v>
      </c>
      <c r="B45" s="5" t="s">
        <v>88</v>
      </c>
      <c r="C45" s="4"/>
      <c r="D45" s="4">
        <v>3372.2</v>
      </c>
      <c r="E45" s="4"/>
      <c r="F45" s="4">
        <f>_xlfn.IFNA(VLOOKUP(A45,'2017 Projected'!$A$10:$P$184,3,FALSE),)</f>
        <v>14400</v>
      </c>
      <c r="G45" s="4">
        <v>0</v>
      </c>
      <c r="I45" s="1"/>
    </row>
    <row r="46" spans="1:9" x14ac:dyDescent="0.25">
      <c r="A46" s="1" t="s">
        <v>89</v>
      </c>
      <c r="B46" s="5" t="s">
        <v>90</v>
      </c>
      <c r="C46" s="4"/>
      <c r="D46" s="4">
        <v>900</v>
      </c>
      <c r="E46" s="4"/>
      <c r="F46" s="4">
        <f>_xlfn.IFNA(VLOOKUP(A46,'2017 Projected'!$A$10:$P$184,3,FALSE),)</f>
        <v>7200</v>
      </c>
      <c r="G46" s="4">
        <v>0</v>
      </c>
      <c r="I46" s="1"/>
    </row>
    <row r="47" spans="1:9" ht="15.75" thickBot="1" x14ac:dyDescent="0.3">
      <c r="A47" s="1"/>
      <c r="B47" s="5"/>
      <c r="C47" s="1"/>
      <c r="D47" s="1"/>
      <c r="E47" s="1"/>
      <c r="F47" s="1"/>
      <c r="G47" s="1"/>
      <c r="I47" s="1"/>
    </row>
    <row r="48" spans="1:9" x14ac:dyDescent="0.25">
      <c r="A48" s="1" t="s">
        <v>93</v>
      </c>
      <c r="B48" s="5" t="s">
        <v>94</v>
      </c>
      <c r="C48" s="8"/>
      <c r="D48" s="8">
        <v>5021.01</v>
      </c>
      <c r="E48" s="8"/>
      <c r="F48" s="8">
        <v>5021.01</v>
      </c>
      <c r="G48" s="8">
        <v>0</v>
      </c>
      <c r="I48" s="1"/>
    </row>
    <row r="49" spans="1:9" x14ac:dyDescent="0.25">
      <c r="A49" s="1"/>
      <c r="B49" s="5"/>
      <c r="C49" s="1"/>
      <c r="D49" s="1"/>
      <c r="E49" s="1"/>
      <c r="F49" s="1"/>
      <c r="G49" s="1"/>
      <c r="I49" s="1"/>
    </row>
    <row r="50" spans="1:9" x14ac:dyDescent="0.25">
      <c r="A50" s="1" t="s">
        <v>95</v>
      </c>
      <c r="B50" s="5" t="s">
        <v>96</v>
      </c>
      <c r="C50" s="9"/>
      <c r="D50" s="9"/>
      <c r="E50" s="9"/>
      <c r="F50" s="9"/>
      <c r="G50" s="9"/>
      <c r="I50" s="1"/>
    </row>
    <row r="51" spans="1:9" x14ac:dyDescent="0.25">
      <c r="A51" s="1" t="s">
        <v>97</v>
      </c>
      <c r="B51" s="5" t="s">
        <v>98</v>
      </c>
      <c r="C51" s="4"/>
      <c r="D51" s="4">
        <v>93.94</v>
      </c>
      <c r="E51" s="4"/>
      <c r="F51" s="4">
        <f>_xlfn.IFNA(VLOOKUP(A51,'2017 Projected'!$A$10:$P$184,3,FALSE),)</f>
        <v>0</v>
      </c>
      <c r="G51" s="4">
        <v>0</v>
      </c>
      <c r="I51" s="1"/>
    </row>
    <row r="52" spans="1:9" x14ac:dyDescent="0.25">
      <c r="A52" s="1" t="s">
        <v>99</v>
      </c>
      <c r="B52" s="5" t="s">
        <v>100</v>
      </c>
      <c r="C52" s="4"/>
      <c r="D52" s="4">
        <v>311.60000000000002</v>
      </c>
      <c r="E52" s="4"/>
      <c r="F52" s="4">
        <f>_xlfn.IFNA(VLOOKUP(A52,'2017 Projected'!$A$10:$P$184,3,FALSE),)</f>
        <v>1482</v>
      </c>
      <c r="G52" s="4">
        <v>0</v>
      </c>
      <c r="I52" s="1"/>
    </row>
    <row r="53" spans="1:9" x14ac:dyDescent="0.25">
      <c r="A53" s="1" t="s">
        <v>101</v>
      </c>
      <c r="B53" s="5" t="s">
        <v>102</v>
      </c>
      <c r="C53" s="4"/>
      <c r="D53" s="4">
        <v>251</v>
      </c>
      <c r="E53" s="4"/>
      <c r="F53" s="4">
        <f>_xlfn.IFNA(VLOOKUP(A53,'2017 Projected'!$A$10:$P$184,3,FALSE),)</f>
        <v>0</v>
      </c>
      <c r="G53" s="4">
        <v>0</v>
      </c>
      <c r="I53" s="1"/>
    </row>
    <row r="54" spans="1:9" x14ac:dyDescent="0.25">
      <c r="A54" s="1" t="s">
        <v>103</v>
      </c>
      <c r="B54" s="5" t="s">
        <v>104</v>
      </c>
      <c r="C54" s="4"/>
      <c r="D54" s="4">
        <v>35.04</v>
      </c>
      <c r="E54" s="4"/>
      <c r="F54" s="4">
        <f>_xlfn.IFNA(VLOOKUP(A54,'2017 Projected'!$A$10:$P$184,3,FALSE),)</f>
        <v>278</v>
      </c>
      <c r="G54" s="4">
        <v>0</v>
      </c>
      <c r="I54" s="1"/>
    </row>
    <row r="55" spans="1:9" ht="15.75" thickBot="1" x14ac:dyDescent="0.3">
      <c r="A55" s="1"/>
      <c r="B55" s="5"/>
      <c r="C55" s="1"/>
      <c r="D55" s="1"/>
      <c r="E55" s="1"/>
      <c r="F55" s="1"/>
      <c r="G55" s="1"/>
      <c r="I55" s="1"/>
    </row>
    <row r="56" spans="1:9" x14ac:dyDescent="0.25">
      <c r="A56" s="1" t="s">
        <v>105</v>
      </c>
      <c r="B56" s="5" t="s">
        <v>106</v>
      </c>
      <c r="C56" s="8"/>
      <c r="D56" s="8">
        <v>691.58</v>
      </c>
      <c r="E56" s="8"/>
      <c r="F56" s="8">
        <v>691.58</v>
      </c>
      <c r="G56" s="8">
        <v>0</v>
      </c>
      <c r="I56" s="1"/>
    </row>
    <row r="57" spans="1:9" x14ac:dyDescent="0.25">
      <c r="A57" s="1"/>
      <c r="B57" s="5"/>
      <c r="C57" s="1"/>
      <c r="D57" s="1"/>
      <c r="E57" s="1"/>
      <c r="F57" s="1"/>
      <c r="G57" s="1"/>
      <c r="I57" s="1"/>
    </row>
    <row r="58" spans="1:9" x14ac:dyDescent="0.25">
      <c r="A58" s="1" t="s">
        <v>107</v>
      </c>
      <c r="B58" s="5" t="s">
        <v>108</v>
      </c>
      <c r="C58" s="9"/>
      <c r="D58" s="9"/>
      <c r="E58" s="9"/>
      <c r="F58" s="9"/>
      <c r="G58" s="9"/>
      <c r="I58" s="1"/>
    </row>
    <row r="59" spans="1:9" x14ac:dyDescent="0.25">
      <c r="A59" s="1" t="s">
        <v>109</v>
      </c>
      <c r="B59" s="5" t="s">
        <v>110</v>
      </c>
      <c r="C59" s="4"/>
      <c r="D59" s="4">
        <v>27555.56</v>
      </c>
      <c r="E59" s="4"/>
      <c r="F59" s="4">
        <f>_xlfn.IFNA(VLOOKUP(A59,'2017 Projected'!$A$10:$P$184,3,FALSE),)</f>
        <v>179075</v>
      </c>
      <c r="G59" s="4">
        <v>0</v>
      </c>
      <c r="I59" s="1"/>
    </row>
    <row r="60" spans="1:9" ht="15.75" thickBot="1" x14ac:dyDescent="0.3">
      <c r="A60" s="1"/>
      <c r="B60" s="5"/>
      <c r="C60" s="1"/>
      <c r="D60" s="1"/>
      <c r="E60" s="1"/>
      <c r="F60" s="1"/>
      <c r="G60" s="1"/>
      <c r="I60" s="1"/>
    </row>
    <row r="61" spans="1:9" x14ac:dyDescent="0.25">
      <c r="A61" s="1" t="s">
        <v>111</v>
      </c>
      <c r="B61" s="5" t="s">
        <v>112</v>
      </c>
      <c r="C61" s="8"/>
      <c r="D61" s="8">
        <v>27555.56</v>
      </c>
      <c r="E61" s="8"/>
      <c r="F61" s="8">
        <v>27555.56</v>
      </c>
      <c r="G61" s="8">
        <v>0</v>
      </c>
      <c r="I61" s="1"/>
    </row>
    <row r="62" spans="1:9" x14ac:dyDescent="0.25">
      <c r="A62" s="1"/>
      <c r="B62" s="5"/>
      <c r="C62" s="1"/>
      <c r="D62" s="1"/>
      <c r="E62" s="1"/>
      <c r="F62" s="1"/>
      <c r="G62" s="1"/>
      <c r="I62" s="1"/>
    </row>
    <row r="63" spans="1:9" ht="15.75" thickBot="1" x14ac:dyDescent="0.3">
      <c r="A63" s="1"/>
      <c r="B63" s="5"/>
      <c r="C63" s="1"/>
      <c r="D63" s="1"/>
      <c r="E63" s="1"/>
      <c r="F63" s="1"/>
      <c r="G63" s="1"/>
      <c r="I63" s="1"/>
    </row>
    <row r="64" spans="1:9" x14ac:dyDescent="0.25">
      <c r="A64" s="1" t="s">
        <v>113</v>
      </c>
      <c r="B64" s="5" t="s">
        <v>114</v>
      </c>
      <c r="C64" s="8"/>
      <c r="D64" s="8">
        <v>42974.39</v>
      </c>
      <c r="E64" s="8"/>
      <c r="F64" s="8">
        <v>42974.39</v>
      </c>
      <c r="G64" s="8">
        <v>0</v>
      </c>
      <c r="I64" s="1"/>
    </row>
    <row r="65" spans="1:9" x14ac:dyDescent="0.25">
      <c r="A65" s="1"/>
      <c r="B65" s="5"/>
      <c r="C65" s="1"/>
      <c r="D65" s="1"/>
      <c r="E65" s="1"/>
      <c r="F65" s="1"/>
      <c r="G65" s="1"/>
      <c r="I65" s="1"/>
    </row>
    <row r="66" spans="1:9" ht="15.75" thickBot="1" x14ac:dyDescent="0.3">
      <c r="A66" s="1"/>
      <c r="B66" s="5"/>
      <c r="C66" s="1"/>
      <c r="D66" s="1"/>
      <c r="E66" s="1"/>
      <c r="F66" s="1"/>
      <c r="G66" s="1"/>
      <c r="I66" s="1"/>
    </row>
    <row r="67" spans="1:9" x14ac:dyDescent="0.25">
      <c r="A67" s="1" t="s">
        <v>115</v>
      </c>
      <c r="B67" s="5" t="s">
        <v>116</v>
      </c>
      <c r="C67" s="8"/>
      <c r="D67" s="8">
        <v>61345.42</v>
      </c>
      <c r="E67" s="8"/>
      <c r="F67" s="8">
        <v>61345.42</v>
      </c>
      <c r="G67" s="8">
        <v>0</v>
      </c>
      <c r="I67" s="1"/>
    </row>
    <row r="68" spans="1:9" x14ac:dyDescent="0.25">
      <c r="A68" s="1"/>
      <c r="B68" s="5"/>
      <c r="C68" s="1"/>
      <c r="D68" s="1"/>
      <c r="E68" s="1"/>
      <c r="F68" s="1"/>
      <c r="G68" s="1"/>
      <c r="I68" s="1"/>
    </row>
    <row r="69" spans="1:9" x14ac:dyDescent="0.25">
      <c r="A69" s="1"/>
      <c r="B69" s="5" t="s">
        <v>117</v>
      </c>
      <c r="C69" s="9"/>
      <c r="D69" s="9"/>
      <c r="E69" s="9"/>
      <c r="F69" s="9"/>
      <c r="G69" s="9"/>
      <c r="I69" s="1"/>
    </row>
    <row r="70" spans="1:9" x14ac:dyDescent="0.25">
      <c r="A70" s="1" t="s">
        <v>118</v>
      </c>
      <c r="B70" s="5" t="s">
        <v>119</v>
      </c>
      <c r="C70" s="4"/>
      <c r="D70" s="4">
        <v>-13944.84</v>
      </c>
      <c r="E70" s="4"/>
      <c r="F70" s="4">
        <f>_xlfn.IFNA(VLOOKUP(A70,'2017 Projected'!$A$10:$P$184,3,FALSE),)</f>
        <v>-128089</v>
      </c>
      <c r="G70" s="4">
        <v>0</v>
      </c>
      <c r="I70" s="1"/>
    </row>
    <row r="71" spans="1:9" ht="15.75" thickBot="1" x14ac:dyDescent="0.3">
      <c r="A71" s="1"/>
      <c r="B71" s="5"/>
      <c r="C71" s="1"/>
      <c r="D71" s="1"/>
      <c r="E71" s="1"/>
      <c r="F71" s="1"/>
      <c r="G71" s="1"/>
      <c r="I71" s="1"/>
    </row>
    <row r="72" spans="1:9" x14ac:dyDescent="0.25">
      <c r="A72" s="1" t="s">
        <v>120</v>
      </c>
      <c r="B72" s="5" t="s">
        <v>121</v>
      </c>
      <c r="C72" s="8"/>
      <c r="D72" s="8">
        <v>-13944.84</v>
      </c>
      <c r="E72" s="8"/>
      <c r="F72" s="8">
        <v>-13944.84</v>
      </c>
      <c r="G72" s="8">
        <v>0</v>
      </c>
      <c r="I72" s="1"/>
    </row>
    <row r="73" spans="1:9" x14ac:dyDescent="0.25">
      <c r="A73" s="1" t="s">
        <v>122</v>
      </c>
      <c r="B73" s="5" t="s">
        <v>123</v>
      </c>
      <c r="C73" s="9"/>
      <c r="D73" s="9"/>
      <c r="E73" s="9"/>
      <c r="F73" s="9"/>
      <c r="G73" s="9"/>
      <c r="I73" s="1"/>
    </row>
    <row r="74" spans="1:9" ht="15.75" thickBot="1" x14ac:dyDescent="0.3">
      <c r="A74" s="1" t="s">
        <v>124</v>
      </c>
      <c r="B74" s="5" t="s">
        <v>125</v>
      </c>
      <c r="C74" s="4"/>
      <c r="D74" s="4">
        <v>-7935</v>
      </c>
      <c r="E74" s="4"/>
      <c r="F74" s="4">
        <f>_xlfn.IFNA(VLOOKUP(A74,'2017 Projected'!$A$10:$P$184,3,FALSE),)</f>
        <v>0</v>
      </c>
      <c r="G74" s="4">
        <v>0</v>
      </c>
      <c r="I74" s="1"/>
    </row>
    <row r="75" spans="1:9" x14ac:dyDescent="0.25">
      <c r="A75" s="1" t="s">
        <v>128</v>
      </c>
      <c r="B75" s="5" t="s">
        <v>129</v>
      </c>
      <c r="C75" s="8"/>
      <c r="D75" s="8">
        <v>-7935</v>
      </c>
      <c r="E75" s="8"/>
      <c r="F75" s="8">
        <v>-7935</v>
      </c>
      <c r="G75" s="8">
        <v>0</v>
      </c>
      <c r="I75" s="1"/>
    </row>
    <row r="76" spans="1:9" x14ac:dyDescent="0.25">
      <c r="A76" s="1"/>
      <c r="B76" s="5"/>
      <c r="C76" s="1"/>
      <c r="D76" s="1"/>
      <c r="E76" s="1"/>
      <c r="F76" s="1"/>
      <c r="G76" s="1"/>
      <c r="I76" s="1"/>
    </row>
    <row r="77" spans="1:9" x14ac:dyDescent="0.25">
      <c r="A77" s="1" t="s">
        <v>130</v>
      </c>
      <c r="B77" s="5" t="s">
        <v>131</v>
      </c>
      <c r="C77" s="9"/>
      <c r="D77" s="9"/>
      <c r="E77" s="9"/>
      <c r="F77" s="9"/>
      <c r="G77" s="9"/>
      <c r="I77" s="1"/>
    </row>
    <row r="78" spans="1:9" x14ac:dyDescent="0.25">
      <c r="A78" s="1" t="s">
        <v>134</v>
      </c>
      <c r="B78" s="5" t="s">
        <v>135</v>
      </c>
      <c r="C78" s="4"/>
      <c r="D78" s="4">
        <v>-15419.53</v>
      </c>
      <c r="E78" s="4"/>
      <c r="F78" s="4">
        <f>_xlfn.IFNA(VLOOKUP(A78,'2017 Projected'!$A$10:$P$184,3,FALSE),)</f>
        <v>0</v>
      </c>
      <c r="G78" s="4">
        <v>0</v>
      </c>
      <c r="I78" s="1"/>
    </row>
    <row r="79" spans="1:9" ht="15.75" thickBot="1" x14ac:dyDescent="0.3">
      <c r="A79" s="1"/>
      <c r="B79" s="5"/>
      <c r="C79" s="1"/>
      <c r="D79" s="1"/>
      <c r="E79" s="1"/>
      <c r="F79" s="1"/>
      <c r="G79" s="1"/>
      <c r="I79" s="1"/>
    </row>
    <row r="80" spans="1:9" x14ac:dyDescent="0.25">
      <c r="A80" s="1" t="s">
        <v>136</v>
      </c>
      <c r="B80" s="5" t="s">
        <v>137</v>
      </c>
      <c r="C80" s="8"/>
      <c r="D80" s="8">
        <v>-15419.53</v>
      </c>
      <c r="E80" s="8"/>
      <c r="F80" s="8">
        <v>-15419.53</v>
      </c>
      <c r="G80" s="8">
        <v>0</v>
      </c>
      <c r="I80" s="1"/>
    </row>
    <row r="81" spans="1:9" x14ac:dyDescent="0.25">
      <c r="A81" s="1"/>
      <c r="B81" s="5"/>
      <c r="C81" s="1"/>
      <c r="D81" s="1"/>
      <c r="E81" s="1"/>
      <c r="F81" s="1"/>
      <c r="G81" s="1"/>
      <c r="I81" s="1"/>
    </row>
    <row r="82" spans="1:9" ht="15.75" thickBot="1" x14ac:dyDescent="0.3">
      <c r="A82" s="1"/>
      <c r="B82" s="5"/>
      <c r="C82" s="1"/>
      <c r="D82" s="1"/>
      <c r="E82" s="1"/>
      <c r="F82" s="1"/>
      <c r="G82" s="1"/>
      <c r="I82" s="1"/>
    </row>
    <row r="83" spans="1:9" x14ac:dyDescent="0.25">
      <c r="A83" s="1" t="s">
        <v>138</v>
      </c>
      <c r="B83" s="5" t="s">
        <v>139</v>
      </c>
      <c r="C83" s="8"/>
      <c r="D83" s="8">
        <v>-37299.370000000003</v>
      </c>
      <c r="E83" s="8"/>
      <c r="F83" s="8">
        <v>-37299.370000000003</v>
      </c>
      <c r="G83" s="8">
        <v>0</v>
      </c>
      <c r="I83" s="1"/>
    </row>
    <row r="84" spans="1:9" x14ac:dyDescent="0.25">
      <c r="A84" s="1"/>
      <c r="B84" s="5"/>
      <c r="C84" s="1"/>
      <c r="D84" s="1"/>
      <c r="E84" s="1"/>
      <c r="F84" s="1"/>
      <c r="G84" s="1"/>
      <c r="I84" s="1"/>
    </row>
    <row r="85" spans="1:9" x14ac:dyDescent="0.25">
      <c r="A85" s="1" t="s">
        <v>140</v>
      </c>
      <c r="B85" s="5" t="s">
        <v>141</v>
      </c>
      <c r="C85" s="9"/>
      <c r="D85" s="9"/>
      <c r="E85" s="9"/>
      <c r="F85" s="9"/>
      <c r="G85" s="9"/>
      <c r="I85" s="1"/>
    </row>
    <row r="86" spans="1:9" x14ac:dyDescent="0.25">
      <c r="A86" s="1" t="s">
        <v>142</v>
      </c>
      <c r="B86" s="5" t="s">
        <v>143</v>
      </c>
      <c r="C86" s="4"/>
      <c r="D86" s="4">
        <v>-426.72</v>
      </c>
      <c r="E86" s="4"/>
      <c r="F86" s="4">
        <f>_xlfn.IFNA(VLOOKUP(A86,'2017 Projected'!$A$10:$P$184,3,FALSE),)</f>
        <v>0</v>
      </c>
      <c r="G86" s="4">
        <v>0</v>
      </c>
      <c r="I86" s="1"/>
    </row>
    <row r="87" spans="1:9" x14ac:dyDescent="0.25">
      <c r="A87" s="1" t="s">
        <v>144</v>
      </c>
      <c r="B87" s="5" t="s">
        <v>145</v>
      </c>
      <c r="C87" s="4"/>
      <c r="D87" s="4">
        <v>3355</v>
      </c>
      <c r="E87" s="4"/>
      <c r="F87" s="4">
        <f>_xlfn.IFNA(VLOOKUP(A87,'2017 Projected'!$A$10:$P$184,3,FALSE),)</f>
        <v>0</v>
      </c>
      <c r="G87" s="4">
        <v>0</v>
      </c>
      <c r="I87" s="1"/>
    </row>
    <row r="88" spans="1:9" ht="15.75" thickBot="1" x14ac:dyDescent="0.3">
      <c r="A88" s="1" t="s">
        <v>188</v>
      </c>
      <c r="B88" s="5" t="s">
        <v>187</v>
      </c>
      <c r="C88" s="4"/>
      <c r="D88" s="4">
        <v>6710</v>
      </c>
      <c r="E88" s="4"/>
      <c r="F88" s="4">
        <f>_xlfn.IFNA(VLOOKUP(A88,'2017 Projected'!$A$10:$P$184,3,FALSE),)</f>
        <v>0</v>
      </c>
      <c r="G88" s="4">
        <v>0</v>
      </c>
      <c r="I88" s="1"/>
    </row>
    <row r="89" spans="1:9" x14ac:dyDescent="0.25">
      <c r="A89" s="1" t="s">
        <v>146</v>
      </c>
      <c r="B89" s="5" t="s">
        <v>147</v>
      </c>
      <c r="C89" s="8"/>
      <c r="D89" s="8">
        <v>9638.2800000000007</v>
      </c>
      <c r="E89" s="8"/>
      <c r="F89" s="8">
        <v>9638.2800000000007</v>
      </c>
      <c r="G89" s="8">
        <v>0</v>
      </c>
      <c r="I89" s="1"/>
    </row>
    <row r="90" spans="1:9" ht="15.75" thickBot="1" x14ac:dyDescent="0.3">
      <c r="A90" s="1" t="s">
        <v>148</v>
      </c>
      <c r="B90" s="5" t="s">
        <v>149</v>
      </c>
      <c r="C90" s="9"/>
      <c r="D90" s="9"/>
      <c r="E90" s="9"/>
      <c r="F90" s="9"/>
      <c r="G90" s="9"/>
      <c r="I90" s="1"/>
    </row>
    <row r="91" spans="1:9" x14ac:dyDescent="0.25">
      <c r="A91" s="1" t="s">
        <v>153</v>
      </c>
      <c r="B91" s="5" t="s">
        <v>154</v>
      </c>
      <c r="C91" s="8"/>
      <c r="D91" s="8">
        <v>0</v>
      </c>
      <c r="E91" s="8"/>
      <c r="F91" s="8">
        <v>0</v>
      </c>
      <c r="G91" s="8">
        <v>0</v>
      </c>
      <c r="I91" s="1"/>
    </row>
    <row r="92" spans="1:9" ht="15.75" thickBot="1" x14ac:dyDescent="0.3">
      <c r="A92" s="1" t="s">
        <v>155</v>
      </c>
      <c r="B92" s="5" t="s">
        <v>156</v>
      </c>
      <c r="C92" s="9"/>
      <c r="D92" s="9"/>
      <c r="E92" s="9"/>
      <c r="F92" s="9"/>
      <c r="G92" s="9"/>
      <c r="I92" s="1"/>
    </row>
    <row r="93" spans="1:9" x14ac:dyDescent="0.25">
      <c r="A93" s="1" t="s">
        <v>158</v>
      </c>
      <c r="B93" s="5" t="s">
        <v>159</v>
      </c>
      <c r="C93" s="8"/>
      <c r="D93" s="8">
        <v>0</v>
      </c>
      <c r="E93" s="8"/>
      <c r="F93" s="8">
        <v>0</v>
      </c>
      <c r="G93" s="8">
        <v>0</v>
      </c>
      <c r="I93" s="1"/>
    </row>
    <row r="94" spans="1:9" ht="15.75" thickBot="1" x14ac:dyDescent="0.3">
      <c r="A94" s="1"/>
      <c r="B94" s="5"/>
      <c r="C94" s="1"/>
      <c r="D94" s="1"/>
      <c r="E94" s="1"/>
      <c r="F94" s="1"/>
      <c r="G94" s="1"/>
      <c r="I94" s="1"/>
    </row>
    <row r="95" spans="1:9" x14ac:dyDescent="0.25">
      <c r="A95" s="1"/>
      <c r="B95" s="5" t="s">
        <v>160</v>
      </c>
      <c r="C95" s="8"/>
      <c r="D95" s="8">
        <v>-27661.09</v>
      </c>
      <c r="E95" s="8"/>
      <c r="F95" s="8">
        <v>-27661.09</v>
      </c>
      <c r="G95" s="8">
        <v>0</v>
      </c>
      <c r="I95" s="1"/>
    </row>
    <row r="96" spans="1:9" ht="15.75" thickBot="1" x14ac:dyDescent="0.3">
      <c r="A96" s="1"/>
      <c r="B96" s="5"/>
      <c r="C96" s="1"/>
      <c r="D96" s="1"/>
      <c r="E96" s="1"/>
      <c r="F96" s="1"/>
      <c r="G96" s="1"/>
      <c r="I96" s="1"/>
    </row>
    <row r="97" spans="1:9" x14ac:dyDescent="0.25">
      <c r="A97" s="1"/>
      <c r="B97" s="5" t="s">
        <v>161</v>
      </c>
      <c r="C97" s="8"/>
      <c r="D97" s="8">
        <v>33684.33</v>
      </c>
      <c r="E97" s="8"/>
      <c r="F97" s="8">
        <v>33684.33</v>
      </c>
      <c r="G97" s="8">
        <v>0</v>
      </c>
      <c r="I97" s="1"/>
    </row>
    <row r="98" spans="1:9" x14ac:dyDescent="0.25">
      <c r="A98" s="175"/>
      <c r="B98" s="175"/>
      <c r="C98" s="175"/>
      <c r="D98" s="175"/>
      <c r="E98" s="175"/>
      <c r="F98" s="175"/>
      <c r="G98" s="175"/>
      <c r="I98" s="1"/>
    </row>
    <row r="99" spans="1:9" x14ac:dyDescent="0.25">
      <c r="A99" s="1"/>
      <c r="B99" s="3" t="s">
        <v>186</v>
      </c>
      <c r="C99" s="3"/>
      <c r="D99" s="6" t="s">
        <v>184</v>
      </c>
      <c r="E99" s="6"/>
      <c r="F99" s="6" t="s">
        <v>163</v>
      </c>
      <c r="G99" s="1"/>
      <c r="I99" s="1"/>
    </row>
    <row r="100" spans="1:9" x14ac:dyDescent="0.25">
      <c r="A100" s="1" t="s">
        <v>182</v>
      </c>
      <c r="B100" s="5" t="s">
        <v>181</v>
      </c>
      <c r="C100" s="5"/>
      <c r="D100" s="4">
        <v>84180.56</v>
      </c>
      <c r="E100" s="4"/>
      <c r="F100" s="4">
        <v>33684.33</v>
      </c>
      <c r="G100" s="1"/>
      <c r="I100" s="1"/>
    </row>
    <row r="101" spans="1:9" x14ac:dyDescent="0.25">
      <c r="A101" s="1" t="s">
        <v>180</v>
      </c>
      <c r="B101" s="5" t="s">
        <v>179</v>
      </c>
      <c r="C101" s="5"/>
      <c r="D101" s="4">
        <v>-46.88</v>
      </c>
      <c r="E101" s="4"/>
      <c r="F101" s="4">
        <v>0</v>
      </c>
      <c r="G101" s="1"/>
      <c r="I101" s="1"/>
    </row>
    <row r="102" spans="1:9" x14ac:dyDescent="0.25">
      <c r="A102" s="1" t="s">
        <v>178</v>
      </c>
      <c r="B102" s="5" t="s">
        <v>177</v>
      </c>
      <c r="C102" s="5"/>
      <c r="D102" s="4">
        <v>0</v>
      </c>
      <c r="E102" s="4"/>
      <c r="F102" s="4">
        <v>0</v>
      </c>
      <c r="G102" s="1"/>
      <c r="I102" s="1"/>
    </row>
    <row r="103" spans="1:9" x14ac:dyDescent="0.25">
      <c r="A103" s="1" t="s">
        <v>176</v>
      </c>
      <c r="B103" s="5" t="s">
        <v>175</v>
      </c>
      <c r="C103" s="5"/>
      <c r="D103" s="4">
        <v>301482.59999999998</v>
      </c>
      <c r="E103" s="4"/>
      <c r="F103" s="4">
        <v>0</v>
      </c>
      <c r="G103" s="1"/>
      <c r="I103" s="1"/>
    </row>
    <row r="104" spans="1:9" x14ac:dyDescent="0.25">
      <c r="A104" s="1" t="s">
        <v>174</v>
      </c>
      <c r="B104" s="5" t="s">
        <v>173</v>
      </c>
      <c r="C104" s="5"/>
      <c r="D104" s="4">
        <v>22073.4</v>
      </c>
      <c r="E104" s="4"/>
      <c r="F104" s="4">
        <v>0</v>
      </c>
      <c r="G104" s="1"/>
      <c r="I104" s="1"/>
    </row>
    <row r="105" spans="1:9" x14ac:dyDescent="0.25">
      <c r="A105" s="1"/>
      <c r="B105" s="3" t="s">
        <v>164</v>
      </c>
      <c r="C105" s="3"/>
      <c r="D105" s="2">
        <v>407689.68</v>
      </c>
      <c r="E105" s="2"/>
      <c r="F105" s="2">
        <v>33684.33</v>
      </c>
      <c r="G105" s="1"/>
      <c r="I105" s="1"/>
    </row>
    <row r="106" spans="1:9" x14ac:dyDescent="0.25">
      <c r="A106" s="175"/>
      <c r="B106" s="175"/>
      <c r="C106" s="175"/>
      <c r="D106" s="175"/>
      <c r="E106" s="175"/>
      <c r="F106" s="175"/>
      <c r="G106" s="175"/>
      <c r="I106" s="1"/>
    </row>
    <row r="107" spans="1:9" x14ac:dyDescent="0.25">
      <c r="A107" s="1"/>
      <c r="B107" s="3" t="s">
        <v>185</v>
      </c>
      <c r="C107" s="3"/>
      <c r="D107" s="6" t="s">
        <v>184</v>
      </c>
      <c r="E107" s="6"/>
      <c r="F107" s="6" t="s">
        <v>163</v>
      </c>
      <c r="G107" s="1"/>
      <c r="I107" s="1"/>
    </row>
    <row r="108" spans="1:9" x14ac:dyDescent="0.25">
      <c r="A108" s="1" t="s">
        <v>182</v>
      </c>
      <c r="B108" s="5" t="s">
        <v>181</v>
      </c>
      <c r="C108" s="5"/>
      <c r="D108" s="4">
        <v>84180.56</v>
      </c>
      <c r="E108" s="4"/>
      <c r="F108" s="4">
        <v>33684.33</v>
      </c>
      <c r="G108" s="1"/>
      <c r="I108" s="1"/>
    </row>
    <row r="109" spans="1:9" x14ac:dyDescent="0.25">
      <c r="A109" s="1" t="s">
        <v>180</v>
      </c>
      <c r="B109" s="5" t="s">
        <v>179</v>
      </c>
      <c r="C109" s="5"/>
      <c r="D109" s="4">
        <v>-46.88</v>
      </c>
      <c r="E109" s="4"/>
      <c r="F109" s="4">
        <v>0</v>
      </c>
      <c r="G109" s="1"/>
      <c r="I109" s="1"/>
    </row>
    <row r="110" spans="1:9" x14ac:dyDescent="0.25">
      <c r="A110" s="1" t="s">
        <v>178</v>
      </c>
      <c r="B110" s="5" t="s">
        <v>177</v>
      </c>
      <c r="C110" s="5"/>
      <c r="D110" s="4">
        <v>0</v>
      </c>
      <c r="E110" s="4"/>
      <c r="F110" s="4">
        <v>0</v>
      </c>
      <c r="G110" s="1"/>
      <c r="I110" s="1"/>
    </row>
    <row r="111" spans="1:9" x14ac:dyDescent="0.25">
      <c r="A111" s="1" t="s">
        <v>176</v>
      </c>
      <c r="B111" s="5" t="s">
        <v>175</v>
      </c>
      <c r="C111" s="5"/>
      <c r="D111" s="4">
        <v>301482.59999999998</v>
      </c>
      <c r="E111" s="4"/>
      <c r="F111" s="4">
        <v>0</v>
      </c>
      <c r="G111" s="1"/>
      <c r="I111" s="1"/>
    </row>
    <row r="112" spans="1:9" x14ac:dyDescent="0.25">
      <c r="A112" s="1" t="s">
        <v>174</v>
      </c>
      <c r="B112" s="5" t="s">
        <v>173</v>
      </c>
      <c r="C112" s="5"/>
      <c r="D112" s="4">
        <v>22073.4</v>
      </c>
      <c r="E112" s="4"/>
      <c r="F112" s="4">
        <v>0</v>
      </c>
      <c r="G112" s="1"/>
      <c r="I112" s="1"/>
    </row>
    <row r="113" spans="1:9" x14ac:dyDescent="0.25">
      <c r="A113" s="1"/>
      <c r="B113" s="3" t="s">
        <v>164</v>
      </c>
      <c r="C113" s="3"/>
      <c r="D113" s="2">
        <v>407689.68</v>
      </c>
      <c r="E113" s="2"/>
      <c r="F113" s="2">
        <v>33684.33</v>
      </c>
      <c r="G113" s="1"/>
      <c r="I113" s="1"/>
    </row>
    <row r="114" spans="1:9" x14ac:dyDescent="0.25">
      <c r="I114" s="1"/>
    </row>
    <row r="115" spans="1:9" x14ac:dyDescent="0.25">
      <c r="I115" s="1"/>
    </row>
    <row r="116" spans="1:9" x14ac:dyDescent="0.25">
      <c r="I116" s="1"/>
    </row>
    <row r="117" spans="1:9" x14ac:dyDescent="0.25">
      <c r="I117" s="1"/>
    </row>
    <row r="118" spans="1:9" x14ac:dyDescent="0.25">
      <c r="I118" s="1"/>
    </row>
    <row r="119" spans="1:9" x14ac:dyDescent="0.25">
      <c r="I119" s="1"/>
    </row>
    <row r="120" spans="1:9" x14ac:dyDescent="0.25">
      <c r="I120" s="1"/>
    </row>
    <row r="121" spans="1:9" x14ac:dyDescent="0.25">
      <c r="I121" s="1"/>
    </row>
    <row r="122" spans="1:9" x14ac:dyDescent="0.25">
      <c r="I122" s="1"/>
    </row>
    <row r="123" spans="1:9" x14ac:dyDescent="0.25">
      <c r="I123" s="1"/>
    </row>
    <row r="124" spans="1:9" x14ac:dyDescent="0.25">
      <c r="I124" s="1"/>
    </row>
    <row r="125" spans="1:9" x14ac:dyDescent="0.25">
      <c r="I125" s="1"/>
    </row>
  </sheetData>
  <mergeCells count="6">
    <mergeCell ref="A106:G106"/>
    <mergeCell ref="A1:G1"/>
    <mergeCell ref="A2:G2"/>
    <mergeCell ref="A3:G3"/>
    <mergeCell ref="A4:G4"/>
    <mergeCell ref="A98:G98"/>
  </mergeCells>
  <printOptions gridLines="1"/>
  <pageMargins left="0.7" right="0.7" top="0.7" bottom="0.7" header="0.5" footer="0.5"/>
  <pageSetup fitToHeight="990" orientation="portrait" verticalDpi="0" r:id="rId1"/>
  <headerFooter>
    <oddHeader>&amp;R&amp;B&amp;D &amp;T</oddHeader>
    <oddFooter>&amp;C&amp;B Page &amp;P of &amp;N</oddFooter>
  </headerFooter>
  <rowBreaks count="1" manualBreakCount="1">
    <brk id="3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4"/>
  <sheetViews>
    <sheetView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O30" sqref="O30:O41"/>
    </sheetView>
  </sheetViews>
  <sheetFormatPr defaultRowHeight="15" x14ac:dyDescent="0.25"/>
  <cols>
    <col min="1" max="1" width="36.42578125" style="31" customWidth="1"/>
    <col min="2" max="2" width="15.5703125" style="31" bestFit="1" customWidth="1"/>
    <col min="3" max="3" width="5.7109375" style="31" customWidth="1"/>
    <col min="4" max="4" width="5.42578125" style="31" customWidth="1"/>
    <col min="5" max="5" width="6.28515625" style="32" customWidth="1"/>
    <col min="6" max="6" width="8.7109375" style="186" bestFit="1" customWidth="1"/>
    <col min="7" max="7" width="17.28515625" style="31" bestFit="1" customWidth="1"/>
    <col min="8" max="8" width="11.5703125" style="60" bestFit="1" customWidth="1"/>
    <col min="9" max="9" width="10.5703125" style="60" bestFit="1" customWidth="1"/>
    <col min="10" max="10" width="11.5703125" style="60" bestFit="1" customWidth="1"/>
    <col min="11" max="11" width="12.5703125" style="31" bestFit="1" customWidth="1"/>
    <col min="12" max="12" width="14.140625" style="31" bestFit="1" customWidth="1"/>
    <col min="13" max="13" width="14.28515625" style="31" bestFit="1" customWidth="1"/>
    <col min="14" max="16384" width="9.140625" style="31"/>
  </cols>
  <sheetData>
    <row r="2" spans="1:13" ht="30" x14ac:dyDescent="0.25">
      <c r="E2" s="184"/>
      <c r="F2" s="185" t="s">
        <v>287</v>
      </c>
      <c r="G2" s="184" t="s">
        <v>184</v>
      </c>
      <c r="H2" s="172" t="s">
        <v>288</v>
      </c>
      <c r="I2" s="172" t="s">
        <v>289</v>
      </c>
      <c r="J2" s="172" t="s">
        <v>290</v>
      </c>
      <c r="K2" s="184" t="s">
        <v>291</v>
      </c>
      <c r="L2" s="184" t="s">
        <v>292</v>
      </c>
      <c r="M2" s="184" t="s">
        <v>183</v>
      </c>
    </row>
    <row r="3" spans="1:13" x14ac:dyDescent="0.25">
      <c r="A3" s="31" t="s">
        <v>293</v>
      </c>
      <c r="B3" s="173">
        <v>1.49E-2</v>
      </c>
      <c r="E3" s="32">
        <v>1</v>
      </c>
      <c r="F3" s="186">
        <v>41557</v>
      </c>
      <c r="G3" s="61">
        <f>$B$9</f>
        <v>4500000</v>
      </c>
      <c r="H3" s="60">
        <f t="shared" ref="H3:H38" si="0">$B$12</f>
        <v>21483.69</v>
      </c>
      <c r="I3" s="60">
        <f>$H3-$J3</f>
        <v>6483.6899999999987</v>
      </c>
      <c r="J3" s="60">
        <f t="shared" ref="J3:J38" si="1">ROUND($G3*($B$10/12), 2)</f>
        <v>15000</v>
      </c>
      <c r="K3" s="60">
        <f>I3</f>
        <v>6483.6899999999987</v>
      </c>
      <c r="L3" s="60">
        <f>J3</f>
        <v>15000</v>
      </c>
      <c r="M3" s="61">
        <f>$G3-$I3</f>
        <v>4493516.3099999996</v>
      </c>
    </row>
    <row r="4" spans="1:13" x14ac:dyDescent="0.25">
      <c r="A4" s="31" t="s">
        <v>528</v>
      </c>
      <c r="B4" s="173">
        <v>0.2</v>
      </c>
      <c r="E4" s="32">
        <v>2</v>
      </c>
      <c r="F4" s="186">
        <v>41588</v>
      </c>
      <c r="G4" s="61">
        <f>$M3</f>
        <v>4493516.3099999996</v>
      </c>
      <c r="H4" s="60">
        <f t="shared" si="0"/>
        <v>21483.69</v>
      </c>
      <c r="I4" s="60">
        <f t="shared" ref="I4:I67" si="2">$H4-$J4</f>
        <v>6505.2999999999993</v>
      </c>
      <c r="J4" s="60">
        <f t="shared" si="1"/>
        <v>14978.39</v>
      </c>
      <c r="K4" s="61">
        <f>$I4+$K3</f>
        <v>12988.989999999998</v>
      </c>
      <c r="L4" s="61">
        <f>$J4+$L3</f>
        <v>29978.39</v>
      </c>
      <c r="M4" s="61">
        <f t="shared" ref="M4:M67" si="3">$G4-$I4</f>
        <v>4487011.01</v>
      </c>
    </row>
    <row r="5" spans="1:13" x14ac:dyDescent="0.25">
      <c r="A5" s="31" t="s">
        <v>278</v>
      </c>
      <c r="B5" s="60">
        <v>240000</v>
      </c>
      <c r="E5" s="32">
        <v>3</v>
      </c>
      <c r="F5" s="186">
        <v>41618</v>
      </c>
      <c r="G5" s="61">
        <f t="shared" ref="G5:G68" si="4">$M4</f>
        <v>4487011.01</v>
      </c>
      <c r="H5" s="60">
        <f t="shared" si="0"/>
        <v>21483.69</v>
      </c>
      <c r="I5" s="60">
        <f t="shared" si="2"/>
        <v>6526.989999999998</v>
      </c>
      <c r="J5" s="60">
        <f t="shared" si="1"/>
        <v>14956.7</v>
      </c>
      <c r="K5" s="61">
        <f t="shared" ref="K5:K68" si="5">$I5+$K4</f>
        <v>19515.979999999996</v>
      </c>
      <c r="L5" s="61">
        <f t="shared" ref="L5:L68" si="6">$J5+$L4</f>
        <v>44935.09</v>
      </c>
      <c r="M5" s="61">
        <f t="shared" si="3"/>
        <v>4480484.0199999996</v>
      </c>
    </row>
    <row r="6" spans="1:13" x14ac:dyDescent="0.25">
      <c r="E6" s="32">
        <v>4</v>
      </c>
      <c r="F6" s="186">
        <v>41649</v>
      </c>
      <c r="G6" s="61">
        <f t="shared" si="4"/>
        <v>4480484.0199999996</v>
      </c>
      <c r="H6" s="60">
        <f t="shared" si="0"/>
        <v>21483.69</v>
      </c>
      <c r="I6" s="60">
        <f t="shared" si="2"/>
        <v>6548.739999999998</v>
      </c>
      <c r="J6" s="60">
        <f t="shared" si="1"/>
        <v>14934.95</v>
      </c>
      <c r="K6" s="61">
        <f t="shared" si="5"/>
        <v>26064.719999999994</v>
      </c>
      <c r="L6" s="61">
        <f t="shared" si="6"/>
        <v>59870.039999999994</v>
      </c>
      <c r="M6" s="61">
        <f t="shared" si="3"/>
        <v>4473935.2799999993</v>
      </c>
    </row>
    <row r="7" spans="1:13" x14ac:dyDescent="0.25">
      <c r="E7" s="32">
        <v>5</v>
      </c>
      <c r="F7" s="186">
        <v>41680</v>
      </c>
      <c r="G7" s="61">
        <f t="shared" si="4"/>
        <v>4473935.2799999993</v>
      </c>
      <c r="H7" s="60">
        <f t="shared" si="0"/>
        <v>21483.69</v>
      </c>
      <c r="I7" s="60">
        <f t="shared" si="2"/>
        <v>6570.5699999999979</v>
      </c>
      <c r="J7" s="60">
        <f t="shared" si="1"/>
        <v>14913.12</v>
      </c>
      <c r="K7" s="61">
        <f t="shared" si="5"/>
        <v>32635.289999999994</v>
      </c>
      <c r="L7" s="61">
        <f t="shared" si="6"/>
        <v>74783.159999999989</v>
      </c>
      <c r="M7" s="61">
        <f t="shared" si="3"/>
        <v>4467364.709999999</v>
      </c>
    </row>
    <row r="8" spans="1:13" x14ac:dyDescent="0.25">
      <c r="E8" s="32">
        <v>6</v>
      </c>
      <c r="F8" s="186">
        <v>41708</v>
      </c>
      <c r="G8" s="61">
        <f t="shared" si="4"/>
        <v>4467364.709999999</v>
      </c>
      <c r="H8" s="60">
        <f t="shared" si="0"/>
        <v>21483.69</v>
      </c>
      <c r="I8" s="60">
        <f t="shared" si="2"/>
        <v>6592.4699999999993</v>
      </c>
      <c r="J8" s="60">
        <f t="shared" si="1"/>
        <v>14891.22</v>
      </c>
      <c r="K8" s="61">
        <f t="shared" si="5"/>
        <v>39227.759999999995</v>
      </c>
      <c r="L8" s="61">
        <f t="shared" si="6"/>
        <v>89674.37999999999</v>
      </c>
      <c r="M8" s="61">
        <f t="shared" si="3"/>
        <v>4460772.2399999993</v>
      </c>
    </row>
    <row r="9" spans="1:13" x14ac:dyDescent="0.25">
      <c r="A9" s="186" t="s">
        <v>294</v>
      </c>
      <c r="B9" s="60">
        <v>4500000</v>
      </c>
      <c r="E9" s="32">
        <v>7</v>
      </c>
      <c r="F9" s="186">
        <v>41739</v>
      </c>
      <c r="G9" s="61">
        <f t="shared" si="4"/>
        <v>4460772.2399999993</v>
      </c>
      <c r="H9" s="60">
        <f t="shared" si="0"/>
        <v>21483.69</v>
      </c>
      <c r="I9" s="60">
        <f t="shared" si="2"/>
        <v>6614.4499999999989</v>
      </c>
      <c r="J9" s="60">
        <f t="shared" si="1"/>
        <v>14869.24</v>
      </c>
      <c r="K9" s="61">
        <f t="shared" si="5"/>
        <v>45842.209999999992</v>
      </c>
      <c r="L9" s="61">
        <f t="shared" si="6"/>
        <v>104543.62</v>
      </c>
      <c r="M9" s="61">
        <f t="shared" si="3"/>
        <v>4454157.7899999991</v>
      </c>
    </row>
    <row r="10" spans="1:13" x14ac:dyDescent="0.25">
      <c r="A10" s="186" t="s">
        <v>295</v>
      </c>
      <c r="B10" s="173">
        <v>0.04</v>
      </c>
      <c r="E10" s="32">
        <v>8</v>
      </c>
      <c r="F10" s="186">
        <v>41769</v>
      </c>
      <c r="G10" s="61">
        <f t="shared" si="4"/>
        <v>4454157.7899999991</v>
      </c>
      <c r="H10" s="60">
        <f t="shared" si="0"/>
        <v>21483.69</v>
      </c>
      <c r="I10" s="60">
        <f t="shared" si="2"/>
        <v>6636.4999999999982</v>
      </c>
      <c r="J10" s="60">
        <f t="shared" si="1"/>
        <v>14847.19</v>
      </c>
      <c r="K10" s="61">
        <f t="shared" si="5"/>
        <v>52478.709999999992</v>
      </c>
      <c r="L10" s="61">
        <f t="shared" si="6"/>
        <v>119390.81</v>
      </c>
      <c r="M10" s="61">
        <f t="shared" si="3"/>
        <v>4447521.2899999991</v>
      </c>
    </row>
    <row r="11" spans="1:13" x14ac:dyDescent="0.25">
      <c r="A11" s="186" t="s">
        <v>297</v>
      </c>
      <c r="B11" s="31">
        <v>360</v>
      </c>
      <c r="E11" s="32">
        <v>9</v>
      </c>
      <c r="F11" s="186">
        <v>41800</v>
      </c>
      <c r="G11" s="61">
        <f t="shared" si="4"/>
        <v>4447521.2899999991</v>
      </c>
      <c r="H11" s="60">
        <f t="shared" si="0"/>
        <v>21483.69</v>
      </c>
      <c r="I11" s="60">
        <f t="shared" si="2"/>
        <v>6658.619999999999</v>
      </c>
      <c r="J11" s="60">
        <f t="shared" si="1"/>
        <v>14825.07</v>
      </c>
      <c r="K11" s="61">
        <f t="shared" si="5"/>
        <v>59137.329999999987</v>
      </c>
      <c r="L11" s="61">
        <f t="shared" si="6"/>
        <v>134215.88</v>
      </c>
      <c r="M11" s="61">
        <f t="shared" si="3"/>
        <v>4440862.669999999</v>
      </c>
    </row>
    <row r="12" spans="1:13" x14ac:dyDescent="0.25">
      <c r="A12" s="186" t="s">
        <v>296</v>
      </c>
      <c r="B12" s="187">
        <f>ROUND(PMT($B$10/12,$B$11,-$B$9,0), 2)</f>
        <v>21483.69</v>
      </c>
      <c r="E12" s="32">
        <v>10</v>
      </c>
      <c r="F12" s="186">
        <v>41830</v>
      </c>
      <c r="G12" s="61">
        <f t="shared" si="4"/>
        <v>4440862.669999999</v>
      </c>
      <c r="H12" s="60">
        <f t="shared" si="0"/>
        <v>21483.69</v>
      </c>
      <c r="I12" s="60">
        <f t="shared" si="2"/>
        <v>6680.8099999999995</v>
      </c>
      <c r="J12" s="60">
        <f t="shared" si="1"/>
        <v>14802.88</v>
      </c>
      <c r="K12" s="61">
        <f t="shared" si="5"/>
        <v>65818.139999999985</v>
      </c>
      <c r="L12" s="61">
        <f t="shared" si="6"/>
        <v>149018.76</v>
      </c>
      <c r="M12" s="61">
        <f t="shared" si="3"/>
        <v>4434181.8599999994</v>
      </c>
    </row>
    <row r="13" spans="1:13" x14ac:dyDescent="0.25">
      <c r="E13" s="32">
        <v>11</v>
      </c>
      <c r="F13" s="186">
        <v>41861</v>
      </c>
      <c r="G13" s="61">
        <f t="shared" si="4"/>
        <v>4434181.8599999994</v>
      </c>
      <c r="H13" s="60">
        <f t="shared" si="0"/>
        <v>21483.69</v>
      </c>
      <c r="I13" s="60">
        <f t="shared" si="2"/>
        <v>6703.0799999999981</v>
      </c>
      <c r="J13" s="60">
        <f t="shared" si="1"/>
        <v>14780.61</v>
      </c>
      <c r="K13" s="61">
        <f t="shared" si="5"/>
        <v>72521.219999999987</v>
      </c>
      <c r="L13" s="61">
        <f t="shared" si="6"/>
        <v>163799.37</v>
      </c>
      <c r="M13" s="61">
        <f t="shared" si="3"/>
        <v>4427478.7799999993</v>
      </c>
    </row>
    <row r="14" spans="1:13" s="184" customFormat="1" x14ac:dyDescent="0.25">
      <c r="E14" s="32">
        <v>12</v>
      </c>
      <c r="F14" s="186">
        <v>41892</v>
      </c>
      <c r="G14" s="61">
        <f t="shared" si="4"/>
        <v>4427478.7799999993</v>
      </c>
      <c r="H14" s="60">
        <f t="shared" si="0"/>
        <v>21483.69</v>
      </c>
      <c r="I14" s="60">
        <f t="shared" si="2"/>
        <v>6725.4299999999985</v>
      </c>
      <c r="J14" s="60">
        <f t="shared" si="1"/>
        <v>14758.26</v>
      </c>
      <c r="K14" s="61">
        <f t="shared" si="5"/>
        <v>79246.64999999998</v>
      </c>
      <c r="L14" s="61">
        <f t="shared" si="6"/>
        <v>178557.63</v>
      </c>
      <c r="M14" s="61">
        <f t="shared" si="3"/>
        <v>4420753.3499999996</v>
      </c>
    </row>
    <row r="15" spans="1:13" x14ac:dyDescent="0.25">
      <c r="A15" s="31" t="s">
        <v>529</v>
      </c>
      <c r="E15" s="32">
        <v>13</v>
      </c>
      <c r="F15" s="186">
        <v>41922</v>
      </c>
      <c r="G15" s="61">
        <f t="shared" si="4"/>
        <v>4420753.3499999996</v>
      </c>
      <c r="H15" s="60">
        <f t="shared" si="0"/>
        <v>21483.69</v>
      </c>
      <c r="I15" s="60">
        <f t="shared" si="2"/>
        <v>6747.8499999999985</v>
      </c>
      <c r="J15" s="60">
        <f t="shared" si="1"/>
        <v>14735.84</v>
      </c>
      <c r="K15" s="61">
        <f t="shared" si="5"/>
        <v>85994.499999999971</v>
      </c>
      <c r="L15" s="61">
        <f t="shared" si="6"/>
        <v>193293.47</v>
      </c>
      <c r="M15" s="61">
        <f t="shared" si="3"/>
        <v>4414005.5</v>
      </c>
    </row>
    <row r="16" spans="1:13" x14ac:dyDescent="0.25">
      <c r="A16" s="186" t="s">
        <v>294</v>
      </c>
      <c r="B16" s="60">
        <v>4500000</v>
      </c>
      <c r="E16" s="32">
        <v>14</v>
      </c>
      <c r="F16" s="186">
        <v>41953</v>
      </c>
      <c r="G16" s="61">
        <f t="shared" si="4"/>
        <v>4414005.5</v>
      </c>
      <c r="H16" s="60">
        <f t="shared" si="0"/>
        <v>21483.69</v>
      </c>
      <c r="I16" s="60">
        <f t="shared" si="2"/>
        <v>6770.3399999999983</v>
      </c>
      <c r="J16" s="60">
        <f t="shared" si="1"/>
        <v>14713.35</v>
      </c>
      <c r="K16" s="61">
        <f t="shared" si="5"/>
        <v>92764.839999999967</v>
      </c>
      <c r="L16" s="61">
        <f t="shared" si="6"/>
        <v>208006.82</v>
      </c>
      <c r="M16" s="61">
        <f t="shared" si="3"/>
        <v>4407235.16</v>
      </c>
    </row>
    <row r="17" spans="1:17" x14ac:dyDescent="0.25">
      <c r="A17" s="186" t="s">
        <v>295</v>
      </c>
      <c r="B17" s="173">
        <v>4.7500000000000001E-2</v>
      </c>
      <c r="E17" s="32">
        <v>15</v>
      </c>
      <c r="F17" s="186">
        <v>41983</v>
      </c>
      <c r="G17" s="61">
        <f t="shared" si="4"/>
        <v>4407235.16</v>
      </c>
      <c r="H17" s="60">
        <f t="shared" si="0"/>
        <v>21483.69</v>
      </c>
      <c r="I17" s="60">
        <f t="shared" si="2"/>
        <v>6792.909999999998</v>
      </c>
      <c r="J17" s="60">
        <f t="shared" si="1"/>
        <v>14690.78</v>
      </c>
      <c r="K17" s="61">
        <f t="shared" si="5"/>
        <v>99557.749999999971</v>
      </c>
      <c r="L17" s="61">
        <f t="shared" si="6"/>
        <v>222697.60000000001</v>
      </c>
      <c r="M17" s="61">
        <f t="shared" si="3"/>
        <v>4400442.25</v>
      </c>
    </row>
    <row r="18" spans="1:17" x14ac:dyDescent="0.25">
      <c r="A18" s="186" t="s">
        <v>297</v>
      </c>
      <c r="B18" s="31">
        <v>360</v>
      </c>
      <c r="E18" s="32">
        <v>16</v>
      </c>
      <c r="F18" s="186">
        <v>42014</v>
      </c>
      <c r="G18" s="61">
        <f t="shared" si="4"/>
        <v>4400442.25</v>
      </c>
      <c r="H18" s="60">
        <f t="shared" si="0"/>
        <v>21483.69</v>
      </c>
      <c r="I18" s="60">
        <f t="shared" si="2"/>
        <v>6815.5499999999993</v>
      </c>
      <c r="J18" s="60">
        <f t="shared" si="1"/>
        <v>14668.14</v>
      </c>
      <c r="K18" s="61">
        <f t="shared" si="5"/>
        <v>106373.29999999997</v>
      </c>
      <c r="L18" s="61">
        <f t="shared" si="6"/>
        <v>237365.74</v>
      </c>
      <c r="M18" s="61">
        <f t="shared" si="3"/>
        <v>4393626.7</v>
      </c>
    </row>
    <row r="19" spans="1:17" x14ac:dyDescent="0.25">
      <c r="A19" s="186" t="s">
        <v>296</v>
      </c>
      <c r="B19" s="187">
        <f>ROUND(PMT($B$17/12,$B$18,-$B$16,0), 2)</f>
        <v>23474.13</v>
      </c>
      <c r="E19" s="32">
        <v>17</v>
      </c>
      <c r="F19" s="186">
        <v>42045</v>
      </c>
      <c r="G19" s="61">
        <f t="shared" si="4"/>
        <v>4393626.7</v>
      </c>
      <c r="H19" s="60">
        <f t="shared" si="0"/>
        <v>21483.69</v>
      </c>
      <c r="I19" s="60">
        <f t="shared" si="2"/>
        <v>6838.2699999999986</v>
      </c>
      <c r="J19" s="60">
        <f t="shared" si="1"/>
        <v>14645.42</v>
      </c>
      <c r="K19" s="61">
        <f t="shared" si="5"/>
        <v>113211.56999999998</v>
      </c>
      <c r="L19" s="61">
        <f t="shared" si="6"/>
        <v>252011.16</v>
      </c>
      <c r="M19" s="61">
        <f t="shared" si="3"/>
        <v>4386788.4300000006</v>
      </c>
    </row>
    <row r="20" spans="1:17" x14ac:dyDescent="0.25">
      <c r="E20" s="32">
        <v>18</v>
      </c>
      <c r="F20" s="186">
        <v>42073</v>
      </c>
      <c r="G20" s="61">
        <f t="shared" si="4"/>
        <v>4386788.4300000006</v>
      </c>
      <c r="H20" s="60">
        <f t="shared" si="0"/>
        <v>21483.69</v>
      </c>
      <c r="I20" s="60">
        <f t="shared" si="2"/>
        <v>6861.0599999999995</v>
      </c>
      <c r="J20" s="60">
        <f t="shared" si="1"/>
        <v>14622.63</v>
      </c>
      <c r="K20" s="61">
        <f t="shared" si="5"/>
        <v>120072.62999999998</v>
      </c>
      <c r="L20" s="61">
        <f t="shared" si="6"/>
        <v>266633.78999999998</v>
      </c>
      <c r="M20" s="61">
        <f t="shared" si="3"/>
        <v>4379927.370000001</v>
      </c>
    </row>
    <row r="21" spans="1:17" x14ac:dyDescent="0.25">
      <c r="E21" s="32">
        <v>19</v>
      </c>
      <c r="F21" s="186">
        <v>42104</v>
      </c>
      <c r="G21" s="61">
        <f t="shared" si="4"/>
        <v>4379927.370000001</v>
      </c>
      <c r="H21" s="60">
        <f t="shared" si="0"/>
        <v>21483.69</v>
      </c>
      <c r="I21" s="60">
        <f t="shared" si="2"/>
        <v>6883.9299999999985</v>
      </c>
      <c r="J21" s="60">
        <f t="shared" si="1"/>
        <v>14599.76</v>
      </c>
      <c r="K21" s="61">
        <f t="shared" si="5"/>
        <v>126956.55999999997</v>
      </c>
      <c r="L21" s="61">
        <f t="shared" si="6"/>
        <v>281233.55</v>
      </c>
      <c r="M21" s="61">
        <f t="shared" si="3"/>
        <v>4373043.4400000013</v>
      </c>
    </row>
    <row r="22" spans="1:17" x14ac:dyDescent="0.25">
      <c r="E22" s="32">
        <v>20</v>
      </c>
      <c r="F22" s="186">
        <v>42134</v>
      </c>
      <c r="G22" s="61">
        <f t="shared" si="4"/>
        <v>4373043.4400000013</v>
      </c>
      <c r="H22" s="60">
        <f t="shared" si="0"/>
        <v>21483.69</v>
      </c>
      <c r="I22" s="60">
        <f t="shared" si="2"/>
        <v>6906.8799999999992</v>
      </c>
      <c r="J22" s="60">
        <f t="shared" si="1"/>
        <v>14576.81</v>
      </c>
      <c r="K22" s="61">
        <f t="shared" si="5"/>
        <v>133863.43999999997</v>
      </c>
      <c r="L22" s="61">
        <f t="shared" si="6"/>
        <v>295810.36</v>
      </c>
      <c r="M22" s="61">
        <f t="shared" si="3"/>
        <v>4366136.5600000015</v>
      </c>
    </row>
    <row r="23" spans="1:17" x14ac:dyDescent="0.25">
      <c r="E23" s="32">
        <v>21</v>
      </c>
      <c r="F23" s="186">
        <v>42165</v>
      </c>
      <c r="G23" s="61">
        <f t="shared" si="4"/>
        <v>4366136.5600000015</v>
      </c>
      <c r="H23" s="60">
        <f t="shared" si="0"/>
        <v>21483.69</v>
      </c>
      <c r="I23" s="60">
        <f t="shared" si="2"/>
        <v>6929.8999999999978</v>
      </c>
      <c r="J23" s="60">
        <f t="shared" si="1"/>
        <v>14553.79</v>
      </c>
      <c r="K23" s="61">
        <f t="shared" si="5"/>
        <v>140793.33999999997</v>
      </c>
      <c r="L23" s="61">
        <f t="shared" si="6"/>
        <v>310364.14999999997</v>
      </c>
      <c r="M23" s="61">
        <f t="shared" si="3"/>
        <v>4359206.6600000011</v>
      </c>
    </row>
    <row r="24" spans="1:17" x14ac:dyDescent="0.25">
      <c r="E24" s="32">
        <v>22</v>
      </c>
      <c r="F24" s="186">
        <v>42195</v>
      </c>
      <c r="G24" s="61">
        <f t="shared" si="4"/>
        <v>4359206.6600000011</v>
      </c>
      <c r="H24" s="60">
        <f t="shared" si="0"/>
        <v>21483.69</v>
      </c>
      <c r="I24" s="60">
        <f t="shared" si="2"/>
        <v>6952.9999999999982</v>
      </c>
      <c r="J24" s="60">
        <f t="shared" si="1"/>
        <v>14530.69</v>
      </c>
      <c r="K24" s="61">
        <f t="shared" si="5"/>
        <v>147746.33999999997</v>
      </c>
      <c r="L24" s="61">
        <f t="shared" si="6"/>
        <v>324894.83999999997</v>
      </c>
      <c r="M24" s="61">
        <f t="shared" si="3"/>
        <v>4352253.6600000011</v>
      </c>
    </row>
    <row r="25" spans="1:17" x14ac:dyDescent="0.25">
      <c r="E25" s="32">
        <v>23</v>
      </c>
      <c r="F25" s="186">
        <v>42226</v>
      </c>
      <c r="G25" s="61">
        <f t="shared" si="4"/>
        <v>4352253.6600000011</v>
      </c>
      <c r="H25" s="60">
        <f t="shared" si="0"/>
        <v>21483.69</v>
      </c>
      <c r="I25" s="60">
        <f t="shared" si="2"/>
        <v>6976.1799999999985</v>
      </c>
      <c r="J25" s="60">
        <f t="shared" si="1"/>
        <v>14507.51</v>
      </c>
      <c r="K25" s="61">
        <f t="shared" si="5"/>
        <v>154722.51999999996</v>
      </c>
      <c r="L25" s="61">
        <f t="shared" si="6"/>
        <v>339402.35</v>
      </c>
      <c r="M25" s="61">
        <f t="shared" si="3"/>
        <v>4345277.4800000014</v>
      </c>
    </row>
    <row r="26" spans="1:17" x14ac:dyDescent="0.25">
      <c r="E26" s="32">
        <v>24</v>
      </c>
      <c r="F26" s="186">
        <v>42257</v>
      </c>
      <c r="G26" s="61">
        <f t="shared" si="4"/>
        <v>4345277.4800000014</v>
      </c>
      <c r="H26" s="60">
        <f t="shared" si="0"/>
        <v>21483.69</v>
      </c>
      <c r="I26" s="60">
        <f t="shared" si="2"/>
        <v>6999.4299999999985</v>
      </c>
      <c r="J26" s="60">
        <f t="shared" si="1"/>
        <v>14484.26</v>
      </c>
      <c r="K26" s="61">
        <f t="shared" si="5"/>
        <v>161721.94999999995</v>
      </c>
      <c r="L26" s="61">
        <f t="shared" si="6"/>
        <v>353886.61</v>
      </c>
      <c r="M26" s="61">
        <f t="shared" si="3"/>
        <v>4338278.0500000017</v>
      </c>
    </row>
    <row r="27" spans="1:17" x14ac:dyDescent="0.25">
      <c r="E27" s="32">
        <v>25</v>
      </c>
      <c r="F27" s="186">
        <v>42287</v>
      </c>
      <c r="G27" s="61">
        <f t="shared" si="4"/>
        <v>4338278.0500000017</v>
      </c>
      <c r="H27" s="60">
        <f t="shared" si="0"/>
        <v>21483.69</v>
      </c>
      <c r="I27" s="60">
        <f t="shared" si="2"/>
        <v>7022.7599999999984</v>
      </c>
      <c r="J27" s="60">
        <f t="shared" si="1"/>
        <v>14460.93</v>
      </c>
      <c r="K27" s="61">
        <f t="shared" si="5"/>
        <v>168744.70999999996</v>
      </c>
      <c r="L27" s="61">
        <f t="shared" si="6"/>
        <v>368347.54</v>
      </c>
      <c r="M27" s="61">
        <f t="shared" si="3"/>
        <v>4331255.2900000019</v>
      </c>
    </row>
    <row r="28" spans="1:17" x14ac:dyDescent="0.25">
      <c r="E28" s="55">
        <v>26</v>
      </c>
      <c r="F28" s="186">
        <v>42318</v>
      </c>
      <c r="G28" s="56">
        <f t="shared" si="4"/>
        <v>4331255.2900000019</v>
      </c>
      <c r="H28" s="57">
        <f t="shared" si="0"/>
        <v>21483.69</v>
      </c>
      <c r="I28" s="57">
        <f t="shared" si="2"/>
        <v>7046.1699999999983</v>
      </c>
      <c r="J28" s="57">
        <f t="shared" si="1"/>
        <v>14437.52</v>
      </c>
      <c r="K28" s="56">
        <f t="shared" si="5"/>
        <v>175790.87999999995</v>
      </c>
      <c r="L28" s="56">
        <f t="shared" si="6"/>
        <v>382785.06</v>
      </c>
      <c r="M28" s="56">
        <f t="shared" si="3"/>
        <v>4324209.120000002</v>
      </c>
    </row>
    <row r="29" spans="1:17" x14ac:dyDescent="0.25">
      <c r="E29" s="32">
        <v>27</v>
      </c>
      <c r="F29" s="186">
        <v>42348</v>
      </c>
      <c r="G29" s="61">
        <f t="shared" si="4"/>
        <v>4324209.120000002</v>
      </c>
      <c r="H29" s="60">
        <f t="shared" si="0"/>
        <v>21483.69</v>
      </c>
      <c r="I29" s="60">
        <f t="shared" si="2"/>
        <v>7069.659999999998</v>
      </c>
      <c r="J29" s="60">
        <f t="shared" si="1"/>
        <v>14414.03</v>
      </c>
      <c r="K29" s="61">
        <f t="shared" si="5"/>
        <v>182860.53999999995</v>
      </c>
      <c r="L29" s="61">
        <f t="shared" si="6"/>
        <v>397199.09</v>
      </c>
      <c r="M29" s="61">
        <f t="shared" si="3"/>
        <v>4317139.4600000018</v>
      </c>
    </row>
    <row r="30" spans="1:17" x14ac:dyDescent="0.25">
      <c r="E30" s="32">
        <v>28</v>
      </c>
      <c r="F30" s="186">
        <v>42379</v>
      </c>
      <c r="G30" s="61">
        <f t="shared" si="4"/>
        <v>4317139.4600000018</v>
      </c>
      <c r="H30" s="60">
        <f t="shared" si="0"/>
        <v>21483.69</v>
      </c>
      <c r="I30" s="60">
        <f t="shared" si="2"/>
        <v>7093.23</v>
      </c>
      <c r="J30" s="60">
        <f t="shared" si="1"/>
        <v>14390.46</v>
      </c>
      <c r="K30" s="61">
        <f t="shared" si="5"/>
        <v>189953.76999999996</v>
      </c>
      <c r="L30" s="61">
        <f t="shared" si="6"/>
        <v>411589.55000000005</v>
      </c>
      <c r="M30" s="61">
        <f t="shared" si="3"/>
        <v>4310046.2300000014</v>
      </c>
      <c r="O30" s="31">
        <v>14390.46</v>
      </c>
      <c r="P30" s="31">
        <f>-O30</f>
        <v>-14390.46</v>
      </c>
      <c r="Q30" s="31">
        <v>-7093.23</v>
      </c>
    </row>
    <row r="31" spans="1:17" x14ac:dyDescent="0.25">
      <c r="E31" s="32">
        <v>29</v>
      </c>
      <c r="F31" s="186">
        <v>42410</v>
      </c>
      <c r="G31" s="61">
        <f t="shared" si="4"/>
        <v>4310046.2300000014</v>
      </c>
      <c r="H31" s="60">
        <f t="shared" si="0"/>
        <v>21483.69</v>
      </c>
      <c r="I31" s="60">
        <f t="shared" si="2"/>
        <v>7116.869999999999</v>
      </c>
      <c r="J31" s="60">
        <f t="shared" si="1"/>
        <v>14366.82</v>
      </c>
      <c r="K31" s="61">
        <f t="shared" si="5"/>
        <v>197070.63999999996</v>
      </c>
      <c r="L31" s="61">
        <f t="shared" si="6"/>
        <v>425956.37000000005</v>
      </c>
      <c r="M31" s="61">
        <f t="shared" si="3"/>
        <v>4302929.3600000013</v>
      </c>
      <c r="O31" s="31">
        <v>14366.82</v>
      </c>
      <c r="P31" s="31">
        <f t="shared" ref="P31:P41" si="7">-O31</f>
        <v>-14366.82</v>
      </c>
      <c r="Q31" s="31">
        <v>-7116.869999999999</v>
      </c>
    </row>
    <row r="32" spans="1:17" x14ac:dyDescent="0.25">
      <c r="E32" s="32">
        <v>30</v>
      </c>
      <c r="F32" s="186">
        <v>42439</v>
      </c>
      <c r="G32" s="61">
        <f t="shared" si="4"/>
        <v>4302929.3600000013</v>
      </c>
      <c r="H32" s="60">
        <f t="shared" si="0"/>
        <v>21483.69</v>
      </c>
      <c r="I32" s="60">
        <f t="shared" si="2"/>
        <v>7140.5899999999983</v>
      </c>
      <c r="J32" s="60">
        <f t="shared" si="1"/>
        <v>14343.1</v>
      </c>
      <c r="K32" s="61">
        <f t="shared" si="5"/>
        <v>204211.22999999995</v>
      </c>
      <c r="L32" s="61">
        <f t="shared" si="6"/>
        <v>440299.47000000003</v>
      </c>
      <c r="M32" s="61">
        <f t="shared" si="3"/>
        <v>4295788.7700000014</v>
      </c>
      <c r="O32" s="31">
        <v>14343.1</v>
      </c>
      <c r="P32" s="31">
        <f t="shared" si="7"/>
        <v>-14343.1</v>
      </c>
      <c r="Q32" s="31">
        <v>-7140.5899999999983</v>
      </c>
    </row>
    <row r="33" spans="5:17" x14ac:dyDescent="0.25">
      <c r="E33" s="32">
        <v>31</v>
      </c>
      <c r="F33" s="186">
        <v>42470</v>
      </c>
      <c r="G33" s="61">
        <f t="shared" si="4"/>
        <v>4295788.7700000014</v>
      </c>
      <c r="H33" s="60">
        <f t="shared" si="0"/>
        <v>21483.69</v>
      </c>
      <c r="I33" s="60">
        <f t="shared" si="2"/>
        <v>7164.3899999999994</v>
      </c>
      <c r="J33" s="60">
        <f t="shared" si="1"/>
        <v>14319.3</v>
      </c>
      <c r="K33" s="61">
        <f t="shared" si="5"/>
        <v>211375.61999999994</v>
      </c>
      <c r="L33" s="61">
        <f t="shared" si="6"/>
        <v>454618.77</v>
      </c>
      <c r="M33" s="61">
        <f t="shared" si="3"/>
        <v>4288624.3800000018</v>
      </c>
      <c r="O33" s="31">
        <v>14319.3</v>
      </c>
      <c r="P33" s="31">
        <f t="shared" si="7"/>
        <v>-14319.3</v>
      </c>
      <c r="Q33" s="31">
        <v>-7164.3899999999994</v>
      </c>
    </row>
    <row r="34" spans="5:17" x14ac:dyDescent="0.25">
      <c r="E34" s="32">
        <v>32</v>
      </c>
      <c r="F34" s="186">
        <v>42500</v>
      </c>
      <c r="G34" s="61">
        <f t="shared" si="4"/>
        <v>4288624.3800000018</v>
      </c>
      <c r="H34" s="60">
        <f t="shared" si="0"/>
        <v>21483.69</v>
      </c>
      <c r="I34" s="60">
        <f t="shared" si="2"/>
        <v>7188.2799999999988</v>
      </c>
      <c r="J34" s="60">
        <f t="shared" si="1"/>
        <v>14295.41</v>
      </c>
      <c r="K34" s="61">
        <f t="shared" si="5"/>
        <v>218563.89999999994</v>
      </c>
      <c r="L34" s="61">
        <f t="shared" si="6"/>
        <v>468914.18</v>
      </c>
      <c r="M34" s="61">
        <f t="shared" si="3"/>
        <v>4281436.1000000015</v>
      </c>
      <c r="O34" s="31">
        <v>14295.41</v>
      </c>
      <c r="P34" s="31">
        <f t="shared" si="7"/>
        <v>-14295.41</v>
      </c>
      <c r="Q34" s="31">
        <v>-7188.2799999999988</v>
      </c>
    </row>
    <row r="35" spans="5:17" x14ac:dyDescent="0.25">
      <c r="E35" s="32">
        <v>33</v>
      </c>
      <c r="F35" s="186">
        <v>42531</v>
      </c>
      <c r="G35" s="61">
        <f t="shared" si="4"/>
        <v>4281436.1000000015</v>
      </c>
      <c r="H35" s="60">
        <f t="shared" si="0"/>
        <v>21483.69</v>
      </c>
      <c r="I35" s="60">
        <f t="shared" si="2"/>
        <v>7212.239999999998</v>
      </c>
      <c r="J35" s="60">
        <f t="shared" si="1"/>
        <v>14271.45</v>
      </c>
      <c r="K35" s="61">
        <f t="shared" si="5"/>
        <v>225776.13999999993</v>
      </c>
      <c r="L35" s="61">
        <f t="shared" si="6"/>
        <v>483185.63</v>
      </c>
      <c r="M35" s="61">
        <f t="shared" si="3"/>
        <v>4274223.8600000013</v>
      </c>
      <c r="O35" s="31">
        <v>14271.45</v>
      </c>
      <c r="P35" s="31">
        <f t="shared" si="7"/>
        <v>-14271.45</v>
      </c>
      <c r="Q35" s="31">
        <v>-7212.239999999998</v>
      </c>
    </row>
    <row r="36" spans="5:17" x14ac:dyDescent="0.25">
      <c r="E36" s="32">
        <v>34</v>
      </c>
      <c r="F36" s="186">
        <v>42561</v>
      </c>
      <c r="G36" s="61">
        <f t="shared" si="4"/>
        <v>4274223.8600000013</v>
      </c>
      <c r="H36" s="60">
        <f t="shared" si="0"/>
        <v>21483.69</v>
      </c>
      <c r="I36" s="60">
        <f t="shared" si="2"/>
        <v>7236.2799999999988</v>
      </c>
      <c r="J36" s="60">
        <f t="shared" si="1"/>
        <v>14247.41</v>
      </c>
      <c r="K36" s="61">
        <f t="shared" si="5"/>
        <v>233012.41999999993</v>
      </c>
      <c r="L36" s="61">
        <f t="shared" si="6"/>
        <v>497433.04</v>
      </c>
      <c r="M36" s="61">
        <f t="shared" si="3"/>
        <v>4266987.580000001</v>
      </c>
      <c r="O36" s="31">
        <v>14247.41</v>
      </c>
      <c r="P36" s="31">
        <f t="shared" si="7"/>
        <v>-14247.41</v>
      </c>
      <c r="Q36" s="31">
        <v>-7236.2799999999988</v>
      </c>
    </row>
    <row r="37" spans="5:17" x14ac:dyDescent="0.25">
      <c r="E37" s="32">
        <v>35</v>
      </c>
      <c r="F37" s="186">
        <v>42592</v>
      </c>
      <c r="G37" s="61">
        <f t="shared" si="4"/>
        <v>4266987.580000001</v>
      </c>
      <c r="H37" s="60">
        <f t="shared" si="0"/>
        <v>21483.69</v>
      </c>
      <c r="I37" s="60">
        <f t="shared" si="2"/>
        <v>7260.3999999999978</v>
      </c>
      <c r="J37" s="60">
        <f t="shared" si="1"/>
        <v>14223.29</v>
      </c>
      <c r="K37" s="61">
        <f t="shared" si="5"/>
        <v>240272.81999999992</v>
      </c>
      <c r="L37" s="61">
        <f t="shared" si="6"/>
        <v>511656.32999999996</v>
      </c>
      <c r="M37" s="61">
        <f t="shared" si="3"/>
        <v>4259727.1800000006</v>
      </c>
      <c r="O37" s="31">
        <v>14223.29</v>
      </c>
      <c r="P37" s="31">
        <f t="shared" si="7"/>
        <v>-14223.29</v>
      </c>
      <c r="Q37" s="31">
        <v>-7260.3999999999978</v>
      </c>
    </row>
    <row r="38" spans="5:17" s="192" customFormat="1" x14ac:dyDescent="0.25">
      <c r="E38" s="188">
        <v>36</v>
      </c>
      <c r="F38" s="189">
        <v>42623</v>
      </c>
      <c r="G38" s="190">
        <f t="shared" si="4"/>
        <v>4259727.1800000006</v>
      </c>
      <c r="H38" s="191">
        <f t="shared" si="0"/>
        <v>21483.69</v>
      </c>
      <c r="I38" s="191">
        <f t="shared" si="2"/>
        <v>7284.5999999999985</v>
      </c>
      <c r="J38" s="191">
        <f t="shared" si="1"/>
        <v>14199.09</v>
      </c>
      <c r="K38" s="190">
        <f t="shared" si="5"/>
        <v>247557.41999999993</v>
      </c>
      <c r="L38" s="190">
        <f t="shared" si="6"/>
        <v>525855.41999999993</v>
      </c>
      <c r="M38" s="190">
        <f t="shared" si="3"/>
        <v>4252442.580000001</v>
      </c>
      <c r="O38" s="192">
        <v>14199.09</v>
      </c>
      <c r="P38" s="31">
        <f t="shared" si="7"/>
        <v>-14199.09</v>
      </c>
      <c r="Q38" s="192">
        <v>-7284.5999999999985</v>
      </c>
    </row>
    <row r="39" spans="5:17" x14ac:dyDescent="0.25">
      <c r="E39" s="32">
        <v>37</v>
      </c>
      <c r="F39" s="193">
        <v>42653</v>
      </c>
      <c r="G39" s="194">
        <f t="shared" si="4"/>
        <v>4252442.580000001</v>
      </c>
      <c r="H39" s="58">
        <f>$B$19</f>
        <v>23474.13</v>
      </c>
      <c r="I39" s="58">
        <f t="shared" si="2"/>
        <v>6641.5400000000009</v>
      </c>
      <c r="J39" s="58">
        <f>ROUND($G39*($B$17/12), 2)</f>
        <v>16832.59</v>
      </c>
      <c r="K39" s="194">
        <f t="shared" si="5"/>
        <v>254198.95999999993</v>
      </c>
      <c r="L39" s="194">
        <f t="shared" si="6"/>
        <v>542688.00999999989</v>
      </c>
      <c r="M39" s="194">
        <f t="shared" si="3"/>
        <v>4245801.040000001</v>
      </c>
      <c r="O39" s="31">
        <v>16832.59</v>
      </c>
      <c r="P39" s="31">
        <f t="shared" si="7"/>
        <v>-16832.59</v>
      </c>
      <c r="Q39" s="31">
        <v>-6641.5400000000009</v>
      </c>
    </row>
    <row r="40" spans="5:17" x14ac:dyDescent="0.25">
      <c r="E40" s="32">
        <v>38</v>
      </c>
      <c r="F40" s="193">
        <v>42684</v>
      </c>
      <c r="G40" s="194">
        <f t="shared" si="4"/>
        <v>4245801.040000001</v>
      </c>
      <c r="H40" s="58">
        <f t="shared" ref="H40:H74" si="8">$B$19</f>
        <v>23474.13</v>
      </c>
      <c r="I40" s="58">
        <f t="shared" si="2"/>
        <v>6667.8300000000017</v>
      </c>
      <c r="J40" s="58">
        <f t="shared" ref="J40:J74" si="9">ROUND($G40*($B$17/12), 2)</f>
        <v>16806.3</v>
      </c>
      <c r="K40" s="194">
        <f t="shared" si="5"/>
        <v>260866.78999999992</v>
      </c>
      <c r="L40" s="194">
        <f t="shared" si="6"/>
        <v>559494.30999999994</v>
      </c>
      <c r="M40" s="194">
        <f t="shared" si="3"/>
        <v>4239133.2100000009</v>
      </c>
      <c r="O40" s="31">
        <v>16806.3</v>
      </c>
      <c r="P40" s="31">
        <f t="shared" si="7"/>
        <v>-16806.3</v>
      </c>
      <c r="Q40" s="31">
        <v>-6667.8300000000017</v>
      </c>
    </row>
    <row r="41" spans="5:17" x14ac:dyDescent="0.25">
      <c r="E41" s="32">
        <v>39</v>
      </c>
      <c r="F41" s="186">
        <v>42714</v>
      </c>
      <c r="G41" s="194">
        <f t="shared" si="4"/>
        <v>4239133.2100000009</v>
      </c>
      <c r="H41" s="58">
        <f t="shared" si="8"/>
        <v>23474.13</v>
      </c>
      <c r="I41" s="58">
        <f t="shared" si="2"/>
        <v>6694.23</v>
      </c>
      <c r="J41" s="58">
        <f t="shared" si="9"/>
        <v>16779.900000000001</v>
      </c>
      <c r="K41" s="194">
        <f t="shared" si="5"/>
        <v>267561.0199999999</v>
      </c>
      <c r="L41" s="194">
        <f t="shared" si="6"/>
        <v>576274.21</v>
      </c>
      <c r="M41" s="194">
        <f t="shared" si="3"/>
        <v>4232438.9800000004</v>
      </c>
      <c r="O41" s="31">
        <v>16779.900000000001</v>
      </c>
      <c r="P41" s="31">
        <f t="shared" si="7"/>
        <v>-16779.900000000001</v>
      </c>
      <c r="Q41" s="31">
        <v>-6694.23</v>
      </c>
    </row>
    <row r="42" spans="5:17" x14ac:dyDescent="0.25">
      <c r="E42" s="32">
        <v>40</v>
      </c>
      <c r="F42" s="193">
        <v>42745</v>
      </c>
      <c r="G42" s="194">
        <f t="shared" si="4"/>
        <v>4232438.9800000004</v>
      </c>
      <c r="H42" s="58">
        <f t="shared" si="8"/>
        <v>23474.13</v>
      </c>
      <c r="I42" s="58">
        <f t="shared" si="2"/>
        <v>6720.73</v>
      </c>
      <c r="J42" s="58">
        <f t="shared" si="9"/>
        <v>16753.400000000001</v>
      </c>
      <c r="K42" s="194">
        <f t="shared" si="5"/>
        <v>274281.74999999988</v>
      </c>
      <c r="L42" s="194">
        <f t="shared" si="6"/>
        <v>593027.61</v>
      </c>
      <c r="M42" s="194">
        <f t="shared" si="3"/>
        <v>4225718.25</v>
      </c>
    </row>
    <row r="43" spans="5:17" x14ac:dyDescent="0.25">
      <c r="E43" s="32">
        <v>41</v>
      </c>
      <c r="F43" s="186">
        <v>42776</v>
      </c>
      <c r="G43" s="194">
        <f t="shared" si="4"/>
        <v>4225718.25</v>
      </c>
      <c r="H43" s="58">
        <f t="shared" si="8"/>
        <v>23474.13</v>
      </c>
      <c r="I43" s="58">
        <f t="shared" si="2"/>
        <v>6747.3300000000017</v>
      </c>
      <c r="J43" s="58">
        <f t="shared" si="9"/>
        <v>16726.8</v>
      </c>
      <c r="K43" s="194">
        <f t="shared" si="5"/>
        <v>281029.0799999999</v>
      </c>
      <c r="L43" s="194">
        <f t="shared" si="6"/>
        <v>609754.41</v>
      </c>
      <c r="M43" s="194">
        <f t="shared" si="3"/>
        <v>4218970.92</v>
      </c>
    </row>
    <row r="44" spans="5:17" x14ac:dyDescent="0.25">
      <c r="E44" s="32">
        <v>42</v>
      </c>
      <c r="F44" s="193">
        <v>42804</v>
      </c>
      <c r="G44" s="194">
        <f t="shared" si="4"/>
        <v>4218970.92</v>
      </c>
      <c r="H44" s="58">
        <f t="shared" si="8"/>
        <v>23474.13</v>
      </c>
      <c r="I44" s="58">
        <f t="shared" si="2"/>
        <v>6774.0400000000009</v>
      </c>
      <c r="J44" s="58">
        <f t="shared" si="9"/>
        <v>16700.09</v>
      </c>
      <c r="K44" s="194">
        <f t="shared" si="5"/>
        <v>287803.11999999988</v>
      </c>
      <c r="L44" s="194">
        <f t="shared" si="6"/>
        <v>626454.5</v>
      </c>
      <c r="M44" s="194">
        <f t="shared" si="3"/>
        <v>4212196.88</v>
      </c>
    </row>
    <row r="45" spans="5:17" x14ac:dyDescent="0.25">
      <c r="E45" s="32">
        <v>43</v>
      </c>
      <c r="F45" s="186">
        <v>42835</v>
      </c>
      <c r="G45" s="194">
        <f t="shared" si="4"/>
        <v>4212196.88</v>
      </c>
      <c r="H45" s="58">
        <f t="shared" si="8"/>
        <v>23474.13</v>
      </c>
      <c r="I45" s="58">
        <f t="shared" si="2"/>
        <v>6800.8500000000022</v>
      </c>
      <c r="J45" s="58">
        <f t="shared" si="9"/>
        <v>16673.28</v>
      </c>
      <c r="K45" s="194">
        <f t="shared" si="5"/>
        <v>294603.96999999986</v>
      </c>
      <c r="L45" s="194">
        <f t="shared" si="6"/>
        <v>643127.78</v>
      </c>
      <c r="M45" s="194">
        <f t="shared" si="3"/>
        <v>4205396.03</v>
      </c>
    </row>
    <row r="46" spans="5:17" x14ac:dyDescent="0.25">
      <c r="E46" s="32">
        <v>44</v>
      </c>
      <c r="F46" s="193">
        <v>42865</v>
      </c>
      <c r="G46" s="194">
        <f t="shared" si="4"/>
        <v>4205396.03</v>
      </c>
      <c r="H46" s="58">
        <f t="shared" si="8"/>
        <v>23474.13</v>
      </c>
      <c r="I46" s="58">
        <f t="shared" si="2"/>
        <v>6827.77</v>
      </c>
      <c r="J46" s="58">
        <f t="shared" si="9"/>
        <v>16646.36</v>
      </c>
      <c r="K46" s="194">
        <f t="shared" si="5"/>
        <v>301431.73999999987</v>
      </c>
      <c r="L46" s="194">
        <f t="shared" si="6"/>
        <v>659774.14</v>
      </c>
      <c r="M46" s="194">
        <f t="shared" si="3"/>
        <v>4198568.2600000007</v>
      </c>
    </row>
    <row r="47" spans="5:17" x14ac:dyDescent="0.25">
      <c r="E47" s="32">
        <v>45</v>
      </c>
      <c r="F47" s="186">
        <v>42896</v>
      </c>
      <c r="G47" s="194">
        <f t="shared" si="4"/>
        <v>4198568.2600000007</v>
      </c>
      <c r="H47" s="58">
        <f t="shared" si="8"/>
        <v>23474.13</v>
      </c>
      <c r="I47" s="58">
        <f t="shared" si="2"/>
        <v>6854.7999999999993</v>
      </c>
      <c r="J47" s="58">
        <f t="shared" si="9"/>
        <v>16619.330000000002</v>
      </c>
      <c r="K47" s="194">
        <f t="shared" si="5"/>
        <v>308286.53999999986</v>
      </c>
      <c r="L47" s="194">
        <f t="shared" si="6"/>
        <v>676393.47</v>
      </c>
      <c r="M47" s="194">
        <f t="shared" si="3"/>
        <v>4191713.4600000009</v>
      </c>
    </row>
    <row r="48" spans="5:17" x14ac:dyDescent="0.25">
      <c r="E48" s="32">
        <v>46</v>
      </c>
      <c r="F48" s="193">
        <v>42926</v>
      </c>
      <c r="G48" s="194">
        <f t="shared" si="4"/>
        <v>4191713.4600000009</v>
      </c>
      <c r="H48" s="58">
        <f t="shared" si="8"/>
        <v>23474.13</v>
      </c>
      <c r="I48" s="58">
        <f t="shared" si="2"/>
        <v>6881.93</v>
      </c>
      <c r="J48" s="58">
        <f t="shared" si="9"/>
        <v>16592.2</v>
      </c>
      <c r="K48" s="194">
        <f t="shared" si="5"/>
        <v>315168.46999999986</v>
      </c>
      <c r="L48" s="194">
        <f t="shared" si="6"/>
        <v>692985.66999999993</v>
      </c>
      <c r="M48" s="194">
        <f t="shared" si="3"/>
        <v>4184831.5300000007</v>
      </c>
    </row>
    <row r="49" spans="5:13" x14ac:dyDescent="0.25">
      <c r="E49" s="32">
        <v>47</v>
      </c>
      <c r="F49" s="186">
        <v>42957</v>
      </c>
      <c r="G49" s="194">
        <f t="shared" si="4"/>
        <v>4184831.5300000007</v>
      </c>
      <c r="H49" s="58">
        <f t="shared" si="8"/>
        <v>23474.13</v>
      </c>
      <c r="I49" s="58">
        <f t="shared" si="2"/>
        <v>6909.1700000000019</v>
      </c>
      <c r="J49" s="58">
        <f t="shared" si="9"/>
        <v>16564.96</v>
      </c>
      <c r="K49" s="194">
        <f t="shared" si="5"/>
        <v>322077.63999999984</v>
      </c>
      <c r="L49" s="194">
        <f t="shared" si="6"/>
        <v>709550.62999999989</v>
      </c>
      <c r="M49" s="194">
        <f t="shared" si="3"/>
        <v>4177922.3600000008</v>
      </c>
    </row>
    <row r="50" spans="5:13" x14ac:dyDescent="0.25">
      <c r="E50" s="32">
        <v>48</v>
      </c>
      <c r="F50" s="193">
        <v>42988</v>
      </c>
      <c r="G50" s="194">
        <f t="shared" si="4"/>
        <v>4177922.3600000008</v>
      </c>
      <c r="H50" s="58">
        <f t="shared" si="8"/>
        <v>23474.13</v>
      </c>
      <c r="I50" s="58">
        <f t="shared" si="2"/>
        <v>6936.52</v>
      </c>
      <c r="J50" s="58">
        <f t="shared" si="9"/>
        <v>16537.61</v>
      </c>
      <c r="K50" s="194">
        <f t="shared" si="5"/>
        <v>329014.15999999986</v>
      </c>
      <c r="L50" s="194">
        <f t="shared" si="6"/>
        <v>726088.23999999987</v>
      </c>
      <c r="M50" s="194">
        <f t="shared" si="3"/>
        <v>4170985.8400000008</v>
      </c>
    </row>
    <row r="51" spans="5:13" x14ac:dyDescent="0.25">
      <c r="E51" s="32">
        <v>49</v>
      </c>
      <c r="F51" s="186">
        <v>43018</v>
      </c>
      <c r="G51" s="194">
        <f t="shared" si="4"/>
        <v>4170985.8400000008</v>
      </c>
      <c r="H51" s="58">
        <f t="shared" si="8"/>
        <v>23474.13</v>
      </c>
      <c r="I51" s="58">
        <f t="shared" si="2"/>
        <v>6963.98</v>
      </c>
      <c r="J51" s="58">
        <f t="shared" si="9"/>
        <v>16510.150000000001</v>
      </c>
      <c r="K51" s="194">
        <f t="shared" si="5"/>
        <v>335978.13999999984</v>
      </c>
      <c r="L51" s="194">
        <f t="shared" si="6"/>
        <v>742598.3899999999</v>
      </c>
      <c r="M51" s="194">
        <f t="shared" si="3"/>
        <v>4164021.8600000008</v>
      </c>
    </row>
    <row r="52" spans="5:13" x14ac:dyDescent="0.25">
      <c r="E52" s="32">
        <v>50</v>
      </c>
      <c r="F52" s="193">
        <v>43049</v>
      </c>
      <c r="G52" s="194">
        <f t="shared" si="4"/>
        <v>4164021.8600000008</v>
      </c>
      <c r="H52" s="58">
        <f t="shared" si="8"/>
        <v>23474.13</v>
      </c>
      <c r="I52" s="58">
        <f t="shared" si="2"/>
        <v>6991.5400000000009</v>
      </c>
      <c r="J52" s="58">
        <f t="shared" si="9"/>
        <v>16482.59</v>
      </c>
      <c r="K52" s="194">
        <f t="shared" si="5"/>
        <v>342969.67999999982</v>
      </c>
      <c r="L52" s="194">
        <f t="shared" si="6"/>
        <v>759080.97999999986</v>
      </c>
      <c r="M52" s="194">
        <f t="shared" si="3"/>
        <v>4157030.3200000008</v>
      </c>
    </row>
    <row r="53" spans="5:13" x14ac:dyDescent="0.25">
      <c r="E53" s="32">
        <v>51</v>
      </c>
      <c r="F53" s="186">
        <v>43079</v>
      </c>
      <c r="G53" s="194">
        <f t="shared" si="4"/>
        <v>4157030.3200000008</v>
      </c>
      <c r="H53" s="58">
        <f t="shared" si="8"/>
        <v>23474.13</v>
      </c>
      <c r="I53" s="58">
        <f t="shared" si="2"/>
        <v>7019.2200000000012</v>
      </c>
      <c r="J53" s="58">
        <f t="shared" si="9"/>
        <v>16454.91</v>
      </c>
      <c r="K53" s="194">
        <f t="shared" si="5"/>
        <v>349988.89999999979</v>
      </c>
      <c r="L53" s="194">
        <f t="shared" si="6"/>
        <v>775535.8899999999</v>
      </c>
      <c r="M53" s="194">
        <f t="shared" si="3"/>
        <v>4150011.1000000006</v>
      </c>
    </row>
    <row r="54" spans="5:13" x14ac:dyDescent="0.25">
      <c r="E54" s="32">
        <v>52</v>
      </c>
      <c r="F54" s="193">
        <v>43110</v>
      </c>
      <c r="G54" s="194">
        <f t="shared" si="4"/>
        <v>4150011.1000000006</v>
      </c>
      <c r="H54" s="58">
        <f t="shared" si="8"/>
        <v>23474.13</v>
      </c>
      <c r="I54" s="58">
        <f t="shared" si="2"/>
        <v>7047</v>
      </c>
      <c r="J54" s="58">
        <f t="shared" si="9"/>
        <v>16427.13</v>
      </c>
      <c r="K54" s="194">
        <f t="shared" si="5"/>
        <v>357035.89999999979</v>
      </c>
      <c r="L54" s="194">
        <f t="shared" si="6"/>
        <v>791963.0199999999</v>
      </c>
      <c r="M54" s="194">
        <f t="shared" si="3"/>
        <v>4142964.1000000006</v>
      </c>
    </row>
    <row r="55" spans="5:13" x14ac:dyDescent="0.25">
      <c r="E55" s="32">
        <v>53</v>
      </c>
      <c r="F55" s="186">
        <v>43141</v>
      </c>
      <c r="G55" s="194">
        <f t="shared" si="4"/>
        <v>4142964.1000000006</v>
      </c>
      <c r="H55" s="58">
        <f t="shared" si="8"/>
        <v>23474.13</v>
      </c>
      <c r="I55" s="58">
        <f t="shared" si="2"/>
        <v>7074.9000000000015</v>
      </c>
      <c r="J55" s="58">
        <f t="shared" si="9"/>
        <v>16399.23</v>
      </c>
      <c r="K55" s="194">
        <f t="shared" si="5"/>
        <v>364110.79999999981</v>
      </c>
      <c r="L55" s="194">
        <f t="shared" si="6"/>
        <v>808362.24999999988</v>
      </c>
      <c r="M55" s="194">
        <f t="shared" si="3"/>
        <v>4135889.2000000007</v>
      </c>
    </row>
    <row r="56" spans="5:13" x14ac:dyDescent="0.25">
      <c r="E56" s="32">
        <v>54</v>
      </c>
      <c r="F56" s="193">
        <v>43169</v>
      </c>
      <c r="G56" s="194">
        <f t="shared" si="4"/>
        <v>4135889.2000000007</v>
      </c>
      <c r="H56" s="58">
        <f t="shared" si="8"/>
        <v>23474.13</v>
      </c>
      <c r="I56" s="58">
        <f t="shared" si="2"/>
        <v>7102.9000000000015</v>
      </c>
      <c r="J56" s="58">
        <f t="shared" si="9"/>
        <v>16371.23</v>
      </c>
      <c r="K56" s="194">
        <f t="shared" si="5"/>
        <v>371213.69999999984</v>
      </c>
      <c r="L56" s="194">
        <f t="shared" si="6"/>
        <v>824733.47999999986</v>
      </c>
      <c r="M56" s="194">
        <f t="shared" si="3"/>
        <v>4128786.3000000007</v>
      </c>
    </row>
    <row r="57" spans="5:13" x14ac:dyDescent="0.25">
      <c r="E57" s="32">
        <v>55</v>
      </c>
      <c r="F57" s="186">
        <v>43200</v>
      </c>
      <c r="G57" s="194">
        <f t="shared" si="4"/>
        <v>4128786.3000000007</v>
      </c>
      <c r="H57" s="58">
        <f t="shared" si="8"/>
        <v>23474.13</v>
      </c>
      <c r="I57" s="58">
        <f t="shared" si="2"/>
        <v>7131.02</v>
      </c>
      <c r="J57" s="58">
        <f t="shared" si="9"/>
        <v>16343.11</v>
      </c>
      <c r="K57" s="194">
        <f t="shared" si="5"/>
        <v>378344.71999999986</v>
      </c>
      <c r="L57" s="194">
        <f t="shared" si="6"/>
        <v>841076.58999999985</v>
      </c>
      <c r="M57" s="194">
        <f t="shared" si="3"/>
        <v>4121655.2800000007</v>
      </c>
    </row>
    <row r="58" spans="5:13" x14ac:dyDescent="0.25">
      <c r="E58" s="32">
        <v>56</v>
      </c>
      <c r="F58" s="193">
        <v>43230</v>
      </c>
      <c r="G58" s="194">
        <f t="shared" si="4"/>
        <v>4121655.2800000007</v>
      </c>
      <c r="H58" s="58">
        <f t="shared" si="8"/>
        <v>23474.13</v>
      </c>
      <c r="I58" s="58">
        <f t="shared" si="2"/>
        <v>7159.2400000000016</v>
      </c>
      <c r="J58" s="58">
        <f t="shared" si="9"/>
        <v>16314.89</v>
      </c>
      <c r="K58" s="194">
        <f t="shared" si="5"/>
        <v>385503.95999999985</v>
      </c>
      <c r="L58" s="194">
        <f t="shared" si="6"/>
        <v>857391.47999999986</v>
      </c>
      <c r="M58" s="194">
        <f t="shared" si="3"/>
        <v>4114496.0400000005</v>
      </c>
    </row>
    <row r="59" spans="5:13" x14ac:dyDescent="0.25">
      <c r="E59" s="32">
        <v>57</v>
      </c>
      <c r="F59" s="186">
        <v>43261</v>
      </c>
      <c r="G59" s="194">
        <f t="shared" si="4"/>
        <v>4114496.0400000005</v>
      </c>
      <c r="H59" s="58">
        <f t="shared" si="8"/>
        <v>23474.13</v>
      </c>
      <c r="I59" s="58">
        <f t="shared" si="2"/>
        <v>7187.5800000000017</v>
      </c>
      <c r="J59" s="58">
        <f t="shared" si="9"/>
        <v>16286.55</v>
      </c>
      <c r="K59" s="194">
        <f t="shared" si="5"/>
        <v>392691.53999999986</v>
      </c>
      <c r="L59" s="194">
        <f t="shared" si="6"/>
        <v>873678.02999999991</v>
      </c>
      <c r="M59" s="194">
        <f t="shared" si="3"/>
        <v>4107308.4600000004</v>
      </c>
    </row>
    <row r="60" spans="5:13" x14ac:dyDescent="0.25">
      <c r="E60" s="32">
        <v>58</v>
      </c>
      <c r="F60" s="193">
        <v>43291</v>
      </c>
      <c r="G60" s="194">
        <f t="shared" si="4"/>
        <v>4107308.4600000004</v>
      </c>
      <c r="H60" s="58">
        <f t="shared" si="8"/>
        <v>23474.13</v>
      </c>
      <c r="I60" s="58">
        <f t="shared" si="2"/>
        <v>7216.0300000000007</v>
      </c>
      <c r="J60" s="58">
        <f t="shared" si="9"/>
        <v>16258.1</v>
      </c>
      <c r="K60" s="194">
        <f t="shared" si="5"/>
        <v>399907.56999999989</v>
      </c>
      <c r="L60" s="194">
        <f t="shared" si="6"/>
        <v>889936.12999999989</v>
      </c>
      <c r="M60" s="194">
        <f t="shared" si="3"/>
        <v>4100092.4300000006</v>
      </c>
    </row>
    <row r="61" spans="5:13" x14ac:dyDescent="0.25">
      <c r="E61" s="32">
        <v>59</v>
      </c>
      <c r="F61" s="186">
        <v>43322</v>
      </c>
      <c r="G61" s="194">
        <f t="shared" si="4"/>
        <v>4100092.4300000006</v>
      </c>
      <c r="H61" s="58">
        <f t="shared" si="8"/>
        <v>23474.13</v>
      </c>
      <c r="I61" s="58">
        <f t="shared" si="2"/>
        <v>7244.6</v>
      </c>
      <c r="J61" s="58">
        <f t="shared" si="9"/>
        <v>16229.53</v>
      </c>
      <c r="K61" s="194">
        <f t="shared" si="5"/>
        <v>407152.16999999987</v>
      </c>
      <c r="L61" s="194">
        <f t="shared" si="6"/>
        <v>906165.65999999992</v>
      </c>
      <c r="M61" s="194">
        <f t="shared" si="3"/>
        <v>4092847.8300000005</v>
      </c>
    </row>
    <row r="62" spans="5:13" x14ac:dyDescent="0.25">
      <c r="E62" s="32">
        <v>60</v>
      </c>
      <c r="F62" s="193">
        <v>43353</v>
      </c>
      <c r="G62" s="194">
        <f t="shared" si="4"/>
        <v>4092847.8300000005</v>
      </c>
      <c r="H62" s="58">
        <f t="shared" si="8"/>
        <v>23474.13</v>
      </c>
      <c r="I62" s="58">
        <f t="shared" si="2"/>
        <v>7273.27</v>
      </c>
      <c r="J62" s="58">
        <f t="shared" si="9"/>
        <v>16200.86</v>
      </c>
      <c r="K62" s="194">
        <f t="shared" si="5"/>
        <v>414425.43999999989</v>
      </c>
      <c r="L62" s="194">
        <f t="shared" si="6"/>
        <v>922366.5199999999</v>
      </c>
      <c r="M62" s="194">
        <f t="shared" si="3"/>
        <v>4085574.5600000005</v>
      </c>
    </row>
    <row r="63" spans="5:13" x14ac:dyDescent="0.25">
      <c r="E63" s="32">
        <v>61</v>
      </c>
      <c r="F63" s="186">
        <v>43383</v>
      </c>
      <c r="G63" s="194">
        <f t="shared" si="4"/>
        <v>4085574.5600000005</v>
      </c>
      <c r="H63" s="58">
        <f t="shared" si="8"/>
        <v>23474.13</v>
      </c>
      <c r="I63" s="58">
        <f t="shared" si="2"/>
        <v>7302.0600000000013</v>
      </c>
      <c r="J63" s="58">
        <f t="shared" si="9"/>
        <v>16172.07</v>
      </c>
      <c r="K63" s="194">
        <f t="shared" si="5"/>
        <v>421727.49999999988</v>
      </c>
      <c r="L63" s="194">
        <f t="shared" si="6"/>
        <v>938538.58999999985</v>
      </c>
      <c r="M63" s="194">
        <f t="shared" si="3"/>
        <v>4078272.5000000005</v>
      </c>
    </row>
    <row r="64" spans="5:13" x14ac:dyDescent="0.25">
      <c r="E64" s="32">
        <v>62</v>
      </c>
      <c r="F64" s="193">
        <v>43414</v>
      </c>
      <c r="G64" s="194">
        <f t="shared" si="4"/>
        <v>4078272.5000000005</v>
      </c>
      <c r="H64" s="58">
        <f t="shared" si="8"/>
        <v>23474.13</v>
      </c>
      <c r="I64" s="58">
        <f t="shared" si="2"/>
        <v>7330.9700000000012</v>
      </c>
      <c r="J64" s="58">
        <f t="shared" si="9"/>
        <v>16143.16</v>
      </c>
      <c r="K64" s="194">
        <f t="shared" si="5"/>
        <v>429058.46999999986</v>
      </c>
      <c r="L64" s="194">
        <f t="shared" si="6"/>
        <v>954681.74999999988</v>
      </c>
      <c r="M64" s="194">
        <f t="shared" si="3"/>
        <v>4070941.5300000003</v>
      </c>
    </row>
    <row r="65" spans="5:13" x14ac:dyDescent="0.25">
      <c r="E65" s="32">
        <v>63</v>
      </c>
      <c r="F65" s="186">
        <v>43444</v>
      </c>
      <c r="G65" s="194">
        <f t="shared" si="4"/>
        <v>4070941.5300000003</v>
      </c>
      <c r="H65" s="58">
        <f t="shared" si="8"/>
        <v>23474.13</v>
      </c>
      <c r="I65" s="58">
        <f t="shared" si="2"/>
        <v>7359.9900000000016</v>
      </c>
      <c r="J65" s="58">
        <f t="shared" si="9"/>
        <v>16114.14</v>
      </c>
      <c r="K65" s="194">
        <f t="shared" si="5"/>
        <v>436418.45999999985</v>
      </c>
      <c r="L65" s="194">
        <f t="shared" si="6"/>
        <v>970795.8899999999</v>
      </c>
      <c r="M65" s="194">
        <f t="shared" si="3"/>
        <v>4063581.54</v>
      </c>
    </row>
    <row r="66" spans="5:13" x14ac:dyDescent="0.25">
      <c r="E66" s="32">
        <v>64</v>
      </c>
      <c r="F66" s="193">
        <v>43475</v>
      </c>
      <c r="G66" s="194">
        <f t="shared" si="4"/>
        <v>4063581.54</v>
      </c>
      <c r="H66" s="58">
        <f t="shared" si="8"/>
        <v>23474.13</v>
      </c>
      <c r="I66" s="58">
        <f t="shared" si="2"/>
        <v>7389.1200000000008</v>
      </c>
      <c r="J66" s="58">
        <f t="shared" si="9"/>
        <v>16085.01</v>
      </c>
      <c r="K66" s="194">
        <f t="shared" si="5"/>
        <v>443807.57999999984</v>
      </c>
      <c r="L66" s="194">
        <f t="shared" si="6"/>
        <v>986880.89999999991</v>
      </c>
      <c r="M66" s="194">
        <f t="shared" si="3"/>
        <v>4056192.42</v>
      </c>
    </row>
    <row r="67" spans="5:13" x14ac:dyDescent="0.25">
      <c r="E67" s="32">
        <v>65</v>
      </c>
      <c r="F67" s="186">
        <v>43506</v>
      </c>
      <c r="G67" s="194">
        <f t="shared" si="4"/>
        <v>4056192.42</v>
      </c>
      <c r="H67" s="58">
        <f t="shared" si="8"/>
        <v>23474.13</v>
      </c>
      <c r="I67" s="58">
        <f t="shared" si="2"/>
        <v>7418.3700000000008</v>
      </c>
      <c r="J67" s="58">
        <f t="shared" si="9"/>
        <v>16055.76</v>
      </c>
      <c r="K67" s="194">
        <f t="shared" si="5"/>
        <v>451225.94999999984</v>
      </c>
      <c r="L67" s="194">
        <f t="shared" si="6"/>
        <v>1002936.6599999999</v>
      </c>
      <c r="M67" s="194">
        <f t="shared" si="3"/>
        <v>4048774.05</v>
      </c>
    </row>
    <row r="68" spans="5:13" x14ac:dyDescent="0.25">
      <c r="E68" s="32">
        <v>66</v>
      </c>
      <c r="F68" s="193">
        <v>43534</v>
      </c>
      <c r="G68" s="194">
        <f t="shared" si="4"/>
        <v>4048774.05</v>
      </c>
      <c r="H68" s="58">
        <f t="shared" si="8"/>
        <v>23474.13</v>
      </c>
      <c r="I68" s="58">
        <f t="shared" ref="I68:I74" si="10">$H68-$J68</f>
        <v>7447.7300000000014</v>
      </c>
      <c r="J68" s="58">
        <f t="shared" si="9"/>
        <v>16026.4</v>
      </c>
      <c r="K68" s="194">
        <f t="shared" si="5"/>
        <v>458673.67999999982</v>
      </c>
      <c r="L68" s="194">
        <f t="shared" si="6"/>
        <v>1018963.0599999999</v>
      </c>
      <c r="M68" s="194">
        <f t="shared" ref="M68:M74" si="11">$G68-$I68</f>
        <v>4041326.32</v>
      </c>
    </row>
    <row r="69" spans="5:13" x14ac:dyDescent="0.25">
      <c r="E69" s="32">
        <v>67</v>
      </c>
      <c r="F69" s="186">
        <v>43565</v>
      </c>
      <c r="G69" s="194">
        <f t="shared" ref="G69:G74" si="12">$M68</f>
        <v>4041326.32</v>
      </c>
      <c r="H69" s="58">
        <f t="shared" si="8"/>
        <v>23474.13</v>
      </c>
      <c r="I69" s="58">
        <f t="shared" si="10"/>
        <v>7477.2100000000009</v>
      </c>
      <c r="J69" s="58">
        <f t="shared" si="9"/>
        <v>15996.92</v>
      </c>
      <c r="K69" s="194">
        <f t="shared" ref="K69:K74" si="13">$I69+$K68</f>
        <v>466150.88999999984</v>
      </c>
      <c r="L69" s="194">
        <f t="shared" ref="L69:L74" si="14">$J69+$L68</f>
        <v>1034959.98</v>
      </c>
      <c r="M69" s="194">
        <f t="shared" si="11"/>
        <v>4033849.11</v>
      </c>
    </row>
    <row r="70" spans="5:13" x14ac:dyDescent="0.25">
      <c r="E70" s="32">
        <v>68</v>
      </c>
      <c r="F70" s="193">
        <v>43595</v>
      </c>
      <c r="G70" s="194">
        <f t="shared" si="12"/>
        <v>4033849.11</v>
      </c>
      <c r="H70" s="58">
        <f t="shared" si="8"/>
        <v>23474.13</v>
      </c>
      <c r="I70" s="58">
        <f t="shared" si="10"/>
        <v>7506.8100000000013</v>
      </c>
      <c r="J70" s="58">
        <f t="shared" si="9"/>
        <v>15967.32</v>
      </c>
      <c r="K70" s="194">
        <f t="shared" si="13"/>
        <v>473657.69999999984</v>
      </c>
      <c r="L70" s="194">
        <f t="shared" si="14"/>
        <v>1050927.3</v>
      </c>
      <c r="M70" s="194">
        <f t="shared" si="11"/>
        <v>4026342.3</v>
      </c>
    </row>
    <row r="71" spans="5:13" x14ac:dyDescent="0.25">
      <c r="E71" s="32">
        <v>69</v>
      </c>
      <c r="F71" s="186">
        <v>43626</v>
      </c>
      <c r="G71" s="194">
        <f t="shared" si="12"/>
        <v>4026342.3</v>
      </c>
      <c r="H71" s="58">
        <f t="shared" si="8"/>
        <v>23474.13</v>
      </c>
      <c r="I71" s="58">
        <f t="shared" si="10"/>
        <v>7536.5300000000007</v>
      </c>
      <c r="J71" s="58">
        <f t="shared" si="9"/>
        <v>15937.6</v>
      </c>
      <c r="K71" s="194">
        <f t="shared" si="13"/>
        <v>481194.22999999986</v>
      </c>
      <c r="L71" s="194">
        <f t="shared" si="14"/>
        <v>1066864.9000000001</v>
      </c>
      <c r="M71" s="194">
        <f t="shared" si="11"/>
        <v>4018805.77</v>
      </c>
    </row>
    <row r="72" spans="5:13" x14ac:dyDescent="0.25">
      <c r="E72" s="32">
        <v>70</v>
      </c>
      <c r="F72" s="193">
        <v>43656</v>
      </c>
      <c r="G72" s="194">
        <f t="shared" si="12"/>
        <v>4018805.77</v>
      </c>
      <c r="H72" s="58">
        <f t="shared" si="8"/>
        <v>23474.13</v>
      </c>
      <c r="I72" s="58">
        <f t="shared" si="10"/>
        <v>7566.3600000000006</v>
      </c>
      <c r="J72" s="58">
        <f t="shared" si="9"/>
        <v>15907.77</v>
      </c>
      <c r="K72" s="194">
        <f t="shared" si="13"/>
        <v>488760.58999999985</v>
      </c>
      <c r="L72" s="194">
        <f t="shared" si="14"/>
        <v>1082772.6700000002</v>
      </c>
      <c r="M72" s="194">
        <f t="shared" si="11"/>
        <v>4011239.41</v>
      </c>
    </row>
    <row r="73" spans="5:13" x14ac:dyDescent="0.25">
      <c r="E73" s="32">
        <v>71</v>
      </c>
      <c r="F73" s="186">
        <v>43687</v>
      </c>
      <c r="G73" s="194">
        <f t="shared" si="12"/>
        <v>4011239.41</v>
      </c>
      <c r="H73" s="58">
        <f t="shared" si="8"/>
        <v>23474.13</v>
      </c>
      <c r="I73" s="58">
        <f t="shared" si="10"/>
        <v>7596.3100000000013</v>
      </c>
      <c r="J73" s="58">
        <f t="shared" si="9"/>
        <v>15877.82</v>
      </c>
      <c r="K73" s="194">
        <f t="shared" si="13"/>
        <v>496356.89999999985</v>
      </c>
      <c r="L73" s="194">
        <f t="shared" si="14"/>
        <v>1098650.4900000002</v>
      </c>
      <c r="M73" s="194">
        <f t="shared" si="11"/>
        <v>4003643.1</v>
      </c>
    </row>
    <row r="74" spans="5:13" x14ac:dyDescent="0.25">
      <c r="E74" s="32">
        <v>72</v>
      </c>
      <c r="F74" s="193">
        <v>43718</v>
      </c>
      <c r="G74" s="194">
        <f t="shared" si="12"/>
        <v>4003643.1</v>
      </c>
      <c r="H74" s="58">
        <f t="shared" si="8"/>
        <v>23474.13</v>
      </c>
      <c r="I74" s="58">
        <f t="shared" si="10"/>
        <v>7626.380000000001</v>
      </c>
      <c r="J74" s="58">
        <f t="shared" si="9"/>
        <v>15847.75</v>
      </c>
      <c r="K74" s="194">
        <f t="shared" si="13"/>
        <v>503983.27999999985</v>
      </c>
      <c r="L74" s="194">
        <f t="shared" si="14"/>
        <v>1114498.2400000002</v>
      </c>
      <c r="M74" s="194">
        <f t="shared" si="11"/>
        <v>3996016.72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2"/>
  <sheetViews>
    <sheetView zoomScale="80" zoomScaleNormal="80" workbookViewId="0">
      <selection activeCell="M34" sqref="M34"/>
    </sheetView>
  </sheetViews>
  <sheetFormatPr defaultRowHeight="15" x14ac:dyDescent="0.25"/>
  <cols>
    <col min="1" max="1" width="51.140625" style="31" customWidth="1"/>
    <col min="2" max="5" width="13.85546875" style="31" customWidth="1"/>
    <col min="6" max="7" width="9.140625" style="31"/>
    <col min="8" max="8" width="4.28515625" style="31" customWidth="1"/>
    <col min="9" max="9" width="9.140625" style="31" customWidth="1"/>
    <col min="10" max="10" width="20.28515625" style="31" customWidth="1"/>
    <col min="11" max="23" width="13.85546875" style="31" customWidth="1"/>
    <col min="24" max="16384" width="9.140625" style="31"/>
  </cols>
  <sheetData>
    <row r="1" spans="1:23" x14ac:dyDescent="0.25">
      <c r="A1" s="59" t="s">
        <v>298</v>
      </c>
      <c r="B1" s="59"/>
      <c r="K1" s="12" t="s">
        <v>299</v>
      </c>
    </row>
    <row r="2" spans="1:23" x14ac:dyDescent="0.25">
      <c r="A2" s="31" t="s">
        <v>300</v>
      </c>
      <c r="B2" s="60">
        <v>5666.67</v>
      </c>
      <c r="D2" s="61">
        <f>B2*12</f>
        <v>68000.040000000008</v>
      </c>
    </row>
    <row r="3" spans="1:23" x14ac:dyDescent="0.25">
      <c r="A3" s="31" t="s">
        <v>301</v>
      </c>
      <c r="B3" s="60">
        <v>5666.67</v>
      </c>
      <c r="D3" s="61">
        <f t="shared" ref="D3:D12" si="0">B3*12</f>
        <v>68000.040000000008</v>
      </c>
    </row>
    <row r="4" spans="1:23" x14ac:dyDescent="0.25">
      <c r="A4" s="31" t="s">
        <v>302</v>
      </c>
      <c r="B4" s="60">
        <v>5666.67</v>
      </c>
      <c r="D4" s="61">
        <f t="shared" si="0"/>
        <v>68000.040000000008</v>
      </c>
      <c r="K4" s="62">
        <v>42370</v>
      </c>
      <c r="L4" s="62">
        <v>42402</v>
      </c>
      <c r="M4" s="62">
        <v>42434</v>
      </c>
      <c r="N4" s="62">
        <v>42466</v>
      </c>
      <c r="O4" s="62">
        <v>42498</v>
      </c>
      <c r="P4" s="62">
        <v>42530</v>
      </c>
      <c r="Q4" s="62">
        <v>42562</v>
      </c>
      <c r="R4" s="62">
        <v>42594</v>
      </c>
      <c r="S4" s="62">
        <v>42626</v>
      </c>
      <c r="T4" s="62">
        <v>42658</v>
      </c>
      <c r="U4" s="62">
        <v>42690</v>
      </c>
      <c r="V4" s="62">
        <v>42722</v>
      </c>
      <c r="W4" s="63" t="s">
        <v>303</v>
      </c>
    </row>
    <row r="5" spans="1:23" x14ac:dyDescent="0.25">
      <c r="A5" s="31" t="s">
        <v>304</v>
      </c>
      <c r="B5" s="60">
        <v>5666.67</v>
      </c>
      <c r="D5" s="61">
        <f t="shared" si="0"/>
        <v>68000.040000000008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1:23" x14ac:dyDescent="0.25">
      <c r="A6" s="31" t="s">
        <v>305</v>
      </c>
      <c r="B6" s="60">
        <v>5666.67</v>
      </c>
      <c r="D6" s="61">
        <f t="shared" si="0"/>
        <v>68000.040000000008</v>
      </c>
    </row>
    <row r="7" spans="1:23" x14ac:dyDescent="0.25">
      <c r="B7" s="60"/>
      <c r="D7" s="61"/>
      <c r="J7" s="31" t="s">
        <v>306</v>
      </c>
      <c r="K7" s="64">
        <v>9137</v>
      </c>
      <c r="L7" s="64"/>
      <c r="M7" s="64"/>
      <c r="N7" s="64">
        <v>9137</v>
      </c>
      <c r="O7" s="64"/>
      <c r="P7" s="64"/>
      <c r="Q7" s="64">
        <v>9137</v>
      </c>
      <c r="R7" s="64"/>
      <c r="S7" s="64"/>
      <c r="T7" s="64"/>
      <c r="U7" s="64"/>
      <c r="V7" s="64"/>
      <c r="W7" s="64">
        <f>SUM(K7:V7)</f>
        <v>27411</v>
      </c>
    </row>
    <row r="8" spans="1:23" x14ac:dyDescent="0.25">
      <c r="A8" s="31" t="s">
        <v>307</v>
      </c>
      <c r="B8" s="60">
        <v>6516.67</v>
      </c>
      <c r="D8" s="61">
        <f t="shared" si="0"/>
        <v>78200.040000000008</v>
      </c>
      <c r="J8" s="31" t="s">
        <v>308</v>
      </c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>
        <f t="shared" ref="W8:W12" si="1">SUM(K8:V8)</f>
        <v>0</v>
      </c>
    </row>
    <row r="9" spans="1:23" x14ac:dyDescent="0.25">
      <c r="A9" s="31" t="s">
        <v>309</v>
      </c>
      <c r="B9" s="60">
        <v>6516.67</v>
      </c>
      <c r="D9" s="61">
        <f t="shared" si="0"/>
        <v>78200.040000000008</v>
      </c>
      <c r="J9" s="31" t="s">
        <v>310</v>
      </c>
      <c r="K9" s="64">
        <v>0</v>
      </c>
      <c r="L9" s="64"/>
      <c r="M9" s="64"/>
      <c r="N9" s="64">
        <v>6282</v>
      </c>
      <c r="O9" s="64"/>
      <c r="P9" s="64"/>
      <c r="Q9" s="64">
        <v>6282</v>
      </c>
      <c r="R9" s="64"/>
      <c r="S9" s="64"/>
      <c r="T9" s="64"/>
      <c r="U9" s="64"/>
      <c r="V9" s="64"/>
      <c r="W9" s="64">
        <f t="shared" si="1"/>
        <v>12564</v>
      </c>
    </row>
    <row r="10" spans="1:23" x14ac:dyDescent="0.25">
      <c r="A10" s="31" t="s">
        <v>311</v>
      </c>
      <c r="B10" s="60">
        <v>6516.67</v>
      </c>
      <c r="D10" s="61">
        <f t="shared" si="0"/>
        <v>78200.040000000008</v>
      </c>
      <c r="J10" s="31" t="s">
        <v>312</v>
      </c>
      <c r="K10" s="64"/>
      <c r="L10" s="64"/>
      <c r="M10" s="64"/>
      <c r="N10" s="64"/>
      <c r="O10" s="64">
        <f>D53</f>
        <v>4204.8355000000001</v>
      </c>
      <c r="P10" s="64"/>
      <c r="Q10" s="64"/>
      <c r="R10" s="64"/>
      <c r="S10" s="64"/>
      <c r="T10" s="64">
        <v>0</v>
      </c>
      <c r="U10" s="64">
        <f>D54</f>
        <v>4204.8355000000001</v>
      </c>
      <c r="V10" s="64"/>
      <c r="W10" s="64">
        <f t="shared" si="1"/>
        <v>8409.6710000000003</v>
      </c>
    </row>
    <row r="11" spans="1:23" x14ac:dyDescent="0.25">
      <c r="A11" s="31" t="s">
        <v>313</v>
      </c>
      <c r="B11" s="60">
        <v>6516.67</v>
      </c>
      <c r="D11" s="61">
        <f t="shared" si="0"/>
        <v>78200.040000000008</v>
      </c>
      <c r="J11" s="31" t="s">
        <v>314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f>D70</f>
        <v>1773.9150025162505</v>
      </c>
      <c r="Q11" s="64">
        <v>0</v>
      </c>
      <c r="R11" s="64">
        <v>0</v>
      </c>
      <c r="S11" s="64"/>
      <c r="T11" s="64">
        <f>D71</f>
        <v>1773.9150025162505</v>
      </c>
      <c r="U11" s="64"/>
      <c r="V11" s="64">
        <f>D72</f>
        <v>1773.9150025162505</v>
      </c>
      <c r="W11" s="64">
        <f t="shared" si="1"/>
        <v>5321.7450075487513</v>
      </c>
    </row>
    <row r="12" spans="1:23" ht="17.25" x14ac:dyDescent="0.4">
      <c r="A12" s="31" t="s">
        <v>315</v>
      </c>
      <c r="B12" s="60">
        <v>6516.67</v>
      </c>
      <c r="D12" s="65">
        <f t="shared" si="0"/>
        <v>78200.040000000008</v>
      </c>
      <c r="J12" s="31" t="s">
        <v>316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  <c r="Q12" s="64">
        <v>0</v>
      </c>
      <c r="R12" s="64">
        <v>0</v>
      </c>
      <c r="S12" s="64">
        <v>0</v>
      </c>
      <c r="T12" s="64">
        <v>0</v>
      </c>
      <c r="U12" s="64">
        <v>0</v>
      </c>
      <c r="V12" s="64">
        <f>D73</f>
        <v>1773.9150025162505</v>
      </c>
      <c r="W12" s="64">
        <f t="shared" si="1"/>
        <v>1773.9150025162505</v>
      </c>
    </row>
    <row r="13" spans="1:23" x14ac:dyDescent="0.25">
      <c r="B13" s="60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</row>
    <row r="14" spans="1:23" x14ac:dyDescent="0.25">
      <c r="A14" s="31" t="s">
        <v>317</v>
      </c>
      <c r="B14" s="60"/>
      <c r="D14" s="61">
        <f>SUM(D2:D12)</f>
        <v>731000.40000000026</v>
      </c>
      <c r="J14" s="31" t="s">
        <v>318</v>
      </c>
      <c r="K14" s="64">
        <f t="shared" ref="K14:W14" si="2">SUM(K7:K12)</f>
        <v>9137</v>
      </c>
      <c r="L14" s="64">
        <f t="shared" si="2"/>
        <v>0</v>
      </c>
      <c r="M14" s="64">
        <f t="shared" si="2"/>
        <v>0</v>
      </c>
      <c r="N14" s="64">
        <f t="shared" si="2"/>
        <v>15419</v>
      </c>
      <c r="O14" s="64">
        <f t="shared" si="2"/>
        <v>4204.8355000000001</v>
      </c>
      <c r="P14" s="64">
        <f t="shared" si="2"/>
        <v>1773.9150025162505</v>
      </c>
      <c r="Q14" s="64">
        <f t="shared" si="2"/>
        <v>15419</v>
      </c>
      <c r="R14" s="64">
        <f t="shared" si="2"/>
        <v>0</v>
      </c>
      <c r="S14" s="64">
        <f t="shared" si="2"/>
        <v>0</v>
      </c>
      <c r="T14" s="64">
        <f t="shared" si="2"/>
        <v>1773.9150025162505</v>
      </c>
      <c r="U14" s="64">
        <f t="shared" si="2"/>
        <v>4204.8355000000001</v>
      </c>
      <c r="V14" s="64">
        <f t="shared" si="2"/>
        <v>3547.830005032501</v>
      </c>
      <c r="W14" s="64">
        <f t="shared" si="2"/>
        <v>55480.331010065005</v>
      </c>
    </row>
    <row r="15" spans="1:23" x14ac:dyDescent="0.25">
      <c r="A15" s="31" t="s">
        <v>319</v>
      </c>
      <c r="B15" s="60"/>
      <c r="D15" s="61">
        <f>D14*0.05</f>
        <v>36550.020000000011</v>
      </c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</row>
    <row r="16" spans="1:23" x14ac:dyDescent="0.25">
      <c r="A16" s="31" t="s">
        <v>320</v>
      </c>
      <c r="B16" s="60"/>
      <c r="D16" s="61">
        <f>D15*0.25</f>
        <v>9137.5050000000028</v>
      </c>
      <c r="E16" s="66">
        <v>42303</v>
      </c>
    </row>
    <row r="17" spans="1:5" x14ac:dyDescent="0.25">
      <c r="A17" s="67" t="s">
        <v>321</v>
      </c>
      <c r="B17" s="60"/>
      <c r="D17" s="61">
        <f>D15*0.25</f>
        <v>9137.5050000000028</v>
      </c>
      <c r="E17" s="66">
        <v>42395</v>
      </c>
    </row>
    <row r="18" spans="1:5" x14ac:dyDescent="0.25">
      <c r="A18" s="31" t="s">
        <v>322</v>
      </c>
      <c r="B18" s="60"/>
      <c r="D18" s="61">
        <f>D15*0.25</f>
        <v>9137.5050000000028</v>
      </c>
      <c r="E18" s="66">
        <v>42486</v>
      </c>
    </row>
    <row r="19" spans="1:5" x14ac:dyDescent="0.25">
      <c r="A19" s="31" t="s">
        <v>323</v>
      </c>
      <c r="B19" s="60"/>
      <c r="D19" s="61">
        <f>D15*0.25</f>
        <v>9137.5050000000028</v>
      </c>
      <c r="E19" s="66">
        <v>42577</v>
      </c>
    </row>
    <row r="20" spans="1:5" x14ac:dyDescent="0.25">
      <c r="B20" s="60"/>
      <c r="D20" s="61"/>
    </row>
    <row r="21" spans="1:5" x14ac:dyDescent="0.25">
      <c r="B21" s="60"/>
      <c r="D21" s="61"/>
    </row>
    <row r="22" spans="1:5" x14ac:dyDescent="0.25">
      <c r="A22" s="182" t="s">
        <v>324</v>
      </c>
      <c r="B22" s="182"/>
      <c r="D22" s="61"/>
    </row>
    <row r="23" spans="1:5" x14ac:dyDescent="0.25">
      <c r="A23" s="182"/>
      <c r="B23" s="182"/>
      <c r="D23" s="61"/>
    </row>
    <row r="24" spans="1:5" x14ac:dyDescent="0.25">
      <c r="A24" s="31" t="s">
        <v>325</v>
      </c>
      <c r="B24" s="60">
        <f>47300*5</f>
        <v>236500</v>
      </c>
      <c r="D24" s="61"/>
    </row>
    <row r="25" spans="1:5" x14ac:dyDescent="0.25">
      <c r="A25" s="31" t="s">
        <v>326</v>
      </c>
      <c r="B25" s="60">
        <f>53212.5*5</f>
        <v>266062.5</v>
      </c>
      <c r="D25" s="61"/>
    </row>
    <row r="26" spans="1:5" ht="15.75" thickBot="1" x14ac:dyDescent="0.3">
      <c r="B26" s="68">
        <f>SUM(B24:B25)</f>
        <v>502562.5</v>
      </c>
      <c r="D26" s="61"/>
    </row>
    <row r="27" spans="1:5" ht="15.75" thickTop="1" x14ac:dyDescent="0.25">
      <c r="B27" s="60"/>
    </row>
    <row r="28" spans="1:5" x14ac:dyDescent="0.25">
      <c r="A28" s="31" t="s">
        <v>327</v>
      </c>
      <c r="B28" s="60">
        <f>B26*5%</f>
        <v>25128.125</v>
      </c>
    </row>
    <row r="29" spans="1:5" x14ac:dyDescent="0.25">
      <c r="B29" s="60"/>
    </row>
    <row r="30" spans="1:5" x14ac:dyDescent="0.25">
      <c r="A30" s="31" t="s">
        <v>328</v>
      </c>
      <c r="B30" s="60">
        <v>12564.06</v>
      </c>
      <c r="E30" s="66">
        <v>42280</v>
      </c>
    </row>
    <row r="31" spans="1:5" x14ac:dyDescent="0.25">
      <c r="A31" s="31" t="s">
        <v>329</v>
      </c>
      <c r="B31" s="60">
        <v>6282.03</v>
      </c>
      <c r="E31" s="66">
        <v>42463</v>
      </c>
    </row>
    <row r="32" spans="1:5" x14ac:dyDescent="0.25">
      <c r="A32" s="31" t="s">
        <v>330</v>
      </c>
      <c r="B32" s="60">
        <v>6282.03</v>
      </c>
      <c r="E32" s="66">
        <v>42554</v>
      </c>
    </row>
    <row r="33" spans="1:8" s="12" customFormat="1" ht="15.75" thickBot="1" x14ac:dyDescent="0.3">
      <c r="A33" s="31"/>
      <c r="B33" s="68">
        <f>SUM(B30:B32)</f>
        <v>25128.12</v>
      </c>
    </row>
    <row r="34" spans="1:8" ht="15.75" thickTop="1" x14ac:dyDescent="0.25"/>
    <row r="35" spans="1:8" x14ac:dyDescent="0.25">
      <c r="A35" s="12" t="s">
        <v>331</v>
      </c>
      <c r="B35" s="12"/>
      <c r="C35" s="12"/>
      <c r="D35" s="12"/>
      <c r="E35" s="12"/>
      <c r="F35" s="12"/>
      <c r="G35" s="12"/>
      <c r="H35" s="12"/>
    </row>
    <row r="36" spans="1:8" s="12" customFormat="1" x14ac:dyDescent="0.25">
      <c r="A36" s="31"/>
      <c r="B36" s="31"/>
      <c r="C36" s="31"/>
      <c r="D36" s="31"/>
      <c r="E36" s="31"/>
      <c r="F36" s="31"/>
      <c r="G36" s="31"/>
      <c r="H36" s="31"/>
    </row>
    <row r="37" spans="1:8" x14ac:dyDescent="0.25">
      <c r="A37" s="31" t="s">
        <v>332</v>
      </c>
      <c r="D37" s="61">
        <v>6282.03</v>
      </c>
      <c r="E37" s="66">
        <v>42280</v>
      </c>
    </row>
    <row r="38" spans="1:8" x14ac:dyDescent="0.25">
      <c r="A38" s="31" t="s">
        <v>333</v>
      </c>
      <c r="D38" s="61">
        <v>6282.03</v>
      </c>
      <c r="E38" s="66">
        <v>42372</v>
      </c>
    </row>
    <row r="39" spans="1:8" x14ac:dyDescent="0.25">
      <c r="A39" s="31" t="s">
        <v>334</v>
      </c>
      <c r="D39" s="61">
        <v>6282.03</v>
      </c>
      <c r="E39" s="66">
        <v>42463</v>
      </c>
    </row>
    <row r="40" spans="1:8" x14ac:dyDescent="0.25">
      <c r="A40" s="31" t="s">
        <v>335</v>
      </c>
      <c r="D40" s="61">
        <v>6282.03</v>
      </c>
      <c r="E40" s="66">
        <v>42554</v>
      </c>
    </row>
    <row r="41" spans="1:8" x14ac:dyDescent="0.25">
      <c r="D41" s="61"/>
      <c r="E41" s="69"/>
    </row>
    <row r="42" spans="1:8" x14ac:dyDescent="0.25">
      <c r="A42" s="12" t="s">
        <v>336</v>
      </c>
      <c r="B42" s="12" t="s">
        <v>337</v>
      </c>
      <c r="C42" s="12"/>
      <c r="D42" s="70"/>
      <c r="E42" s="71"/>
      <c r="F42" s="12"/>
      <c r="G42" s="12"/>
      <c r="H42" s="12"/>
    </row>
    <row r="43" spans="1:8" x14ac:dyDescent="0.25">
      <c r="D43" s="61"/>
      <c r="E43" s="69"/>
    </row>
    <row r="44" spans="1:8" x14ac:dyDescent="0.25">
      <c r="A44" s="31" t="s">
        <v>338</v>
      </c>
      <c r="B44" s="60">
        <v>31680</v>
      </c>
    </row>
    <row r="45" spans="1:8" x14ac:dyDescent="0.25">
      <c r="A45" s="31" t="s">
        <v>339</v>
      </c>
      <c r="B45" s="60">
        <v>32630.400000000001</v>
      </c>
    </row>
    <row r="46" spans="1:8" x14ac:dyDescent="0.25">
      <c r="A46" s="31" t="s">
        <v>340</v>
      </c>
      <c r="B46" s="60">
        <v>33609.31</v>
      </c>
    </row>
    <row r="47" spans="1:8" x14ac:dyDescent="0.25">
      <c r="A47" s="31" t="s">
        <v>341</v>
      </c>
      <c r="B47" s="60">
        <v>34617.589999999997</v>
      </c>
    </row>
    <row r="48" spans="1:8" ht="17.25" x14ac:dyDescent="0.4">
      <c r="A48" s="31" t="s">
        <v>342</v>
      </c>
      <c r="B48" s="72">
        <v>35656.120000000003</v>
      </c>
      <c r="D48" s="61"/>
      <c r="E48" s="66"/>
    </row>
    <row r="49" spans="1:14" x14ac:dyDescent="0.25">
      <c r="A49" s="31" t="s">
        <v>165</v>
      </c>
      <c r="B49" s="60">
        <f>SUM(B44:B48)</f>
        <v>168193.41999999998</v>
      </c>
      <c r="D49" s="61"/>
      <c r="E49" s="66"/>
    </row>
    <row r="51" spans="1:14" x14ac:dyDescent="0.25">
      <c r="A51" s="31" t="s">
        <v>343</v>
      </c>
      <c r="B51" s="61">
        <f>B49*0.05</f>
        <v>8409.6710000000003</v>
      </c>
    </row>
    <row r="53" spans="1:14" x14ac:dyDescent="0.25">
      <c r="A53" s="31" t="s">
        <v>344</v>
      </c>
      <c r="D53" s="61">
        <f>B$51/2</f>
        <v>4204.8355000000001</v>
      </c>
      <c r="E53" s="66">
        <v>42507</v>
      </c>
      <c r="F53" s="31" t="s">
        <v>345</v>
      </c>
      <c r="M53" s="69"/>
      <c r="N53" s="69"/>
    </row>
    <row r="54" spans="1:14" x14ac:dyDescent="0.25">
      <c r="A54" s="31" t="s">
        <v>346</v>
      </c>
      <c r="D54" s="61">
        <f>B$51/2</f>
        <v>4204.8355000000001</v>
      </c>
      <c r="E54" s="66">
        <v>42690</v>
      </c>
      <c r="F54" s="31" t="s">
        <v>345</v>
      </c>
      <c r="M54" s="73"/>
    </row>
    <row r="55" spans="1:14" x14ac:dyDescent="0.25">
      <c r="M55" s="73"/>
    </row>
    <row r="56" spans="1:14" x14ac:dyDescent="0.25">
      <c r="A56" s="12" t="s">
        <v>347</v>
      </c>
      <c r="M56" s="73"/>
    </row>
    <row r="57" spans="1:14" x14ac:dyDescent="0.25">
      <c r="M57" s="73"/>
    </row>
    <row r="58" spans="1:14" x14ac:dyDescent="0.25">
      <c r="A58" s="31" t="s">
        <v>348</v>
      </c>
      <c r="B58" s="31">
        <v>1215</v>
      </c>
      <c r="M58" s="73"/>
    </row>
    <row r="59" spans="1:14" x14ac:dyDescent="0.25">
      <c r="A59" s="31" t="s">
        <v>349</v>
      </c>
      <c r="B59" s="60">
        <v>22</v>
      </c>
      <c r="M59" s="73"/>
      <c r="N59" s="73"/>
    </row>
    <row r="61" spans="1:14" x14ac:dyDescent="0.25">
      <c r="A61" s="31" t="s">
        <v>338</v>
      </c>
      <c r="B61" s="60">
        <f>B58*B59</f>
        <v>26730</v>
      </c>
    </row>
    <row r="62" spans="1:14" x14ac:dyDescent="0.25">
      <c r="A62" s="31" t="s">
        <v>339</v>
      </c>
      <c r="B62" s="60">
        <f>B61*1.03</f>
        <v>27531.9</v>
      </c>
    </row>
    <row r="63" spans="1:14" x14ac:dyDescent="0.25">
      <c r="A63" s="31" t="s">
        <v>340</v>
      </c>
      <c r="B63" s="60">
        <f t="shared" ref="B63:B65" si="3">B62*1.03</f>
        <v>28357.857000000004</v>
      </c>
    </row>
    <row r="64" spans="1:14" x14ac:dyDescent="0.25">
      <c r="A64" s="31" t="s">
        <v>341</v>
      </c>
      <c r="B64" s="60">
        <f t="shared" si="3"/>
        <v>29208.592710000004</v>
      </c>
    </row>
    <row r="65" spans="1:11" ht="17.25" x14ac:dyDescent="0.4">
      <c r="A65" s="31" t="s">
        <v>342</v>
      </c>
      <c r="B65" s="72">
        <f t="shared" si="3"/>
        <v>30084.850491300007</v>
      </c>
      <c r="D65" s="61"/>
      <c r="E65" s="66"/>
    </row>
    <row r="66" spans="1:11" x14ac:dyDescent="0.25">
      <c r="A66" s="31" t="s">
        <v>165</v>
      </c>
      <c r="B66" s="60">
        <f>SUM(B61:B65)</f>
        <v>141913.20020130003</v>
      </c>
      <c r="D66" s="61"/>
      <c r="E66" s="66"/>
    </row>
    <row r="68" spans="1:11" x14ac:dyDescent="0.25">
      <c r="A68" s="31" t="s">
        <v>343</v>
      </c>
      <c r="B68" s="61">
        <f>B66*0.05</f>
        <v>7095.6600100650021</v>
      </c>
    </row>
    <row r="70" spans="1:11" x14ac:dyDescent="0.25">
      <c r="A70" s="31" t="s">
        <v>350</v>
      </c>
      <c r="D70" s="61">
        <f>B$68/4</f>
        <v>1773.9150025162505</v>
      </c>
      <c r="E70" s="66">
        <v>42673</v>
      </c>
      <c r="F70" s="31" t="s">
        <v>345</v>
      </c>
      <c r="J70" s="69"/>
      <c r="K70" s="69"/>
    </row>
    <row r="71" spans="1:11" x14ac:dyDescent="0.25">
      <c r="A71" s="31" t="s">
        <v>351</v>
      </c>
      <c r="D71" s="61">
        <f t="shared" ref="D71:D73" si="4">B$68/4</f>
        <v>1773.9150025162505</v>
      </c>
      <c r="E71" s="66">
        <f>E70+45</f>
        <v>42718</v>
      </c>
      <c r="F71" s="31" t="s">
        <v>345</v>
      </c>
      <c r="K71" s="69"/>
    </row>
    <row r="72" spans="1:11" x14ac:dyDescent="0.25">
      <c r="A72" s="31" t="s">
        <v>352</v>
      </c>
      <c r="D72" s="61">
        <f t="shared" si="4"/>
        <v>1773.9150025162505</v>
      </c>
      <c r="E72" s="66">
        <f>E71+45</f>
        <v>42763</v>
      </c>
      <c r="F72" s="31" t="s">
        <v>345</v>
      </c>
      <c r="K72" s="69"/>
    </row>
    <row r="73" spans="1:11" x14ac:dyDescent="0.25">
      <c r="A73" s="31" t="s">
        <v>353</v>
      </c>
      <c r="D73" s="61">
        <f t="shared" si="4"/>
        <v>1773.9150025162505</v>
      </c>
      <c r="E73" s="66">
        <f>E72+45</f>
        <v>42808</v>
      </c>
      <c r="F73" s="31" t="s">
        <v>345</v>
      </c>
      <c r="K73" s="69"/>
    </row>
    <row r="75" spans="1:11" x14ac:dyDescent="0.25">
      <c r="A75" s="12" t="s">
        <v>354</v>
      </c>
      <c r="B75" s="12" t="s">
        <v>355</v>
      </c>
      <c r="C75" s="12"/>
      <c r="D75" s="70"/>
      <c r="E75" s="71"/>
      <c r="F75" s="12"/>
      <c r="G75" s="12"/>
      <c r="H75" s="12"/>
    </row>
    <row r="76" spans="1:11" x14ac:dyDescent="0.25">
      <c r="D76" s="61"/>
      <c r="E76" s="69"/>
    </row>
    <row r="77" spans="1:11" x14ac:dyDescent="0.25">
      <c r="A77" s="31" t="s">
        <v>348</v>
      </c>
      <c r="B77" s="31">
        <v>1215</v>
      </c>
    </row>
    <row r="78" spans="1:11" x14ac:dyDescent="0.25">
      <c r="A78" s="31" t="s">
        <v>349</v>
      </c>
      <c r="B78" s="60">
        <v>22</v>
      </c>
    </row>
    <row r="80" spans="1:11" x14ac:dyDescent="0.25">
      <c r="A80" s="31" t="s">
        <v>338</v>
      </c>
      <c r="B80" s="60">
        <f>B77*B78</f>
        <v>26730</v>
      </c>
      <c r="C80" s="61"/>
    </row>
    <row r="81" spans="1:11" x14ac:dyDescent="0.25">
      <c r="A81" s="31" t="s">
        <v>339</v>
      </c>
      <c r="B81" s="60">
        <f>B80*1.03</f>
        <v>27531.9</v>
      </c>
    </row>
    <row r="82" spans="1:11" x14ac:dyDescent="0.25">
      <c r="A82" s="31" t="s">
        <v>340</v>
      </c>
      <c r="B82" s="60">
        <f t="shared" ref="B82:B84" si="5">B81*1.03</f>
        <v>28357.857000000004</v>
      </c>
    </row>
    <row r="83" spans="1:11" x14ac:dyDescent="0.25">
      <c r="A83" s="31" t="s">
        <v>341</v>
      </c>
      <c r="B83" s="60">
        <f t="shared" si="5"/>
        <v>29208.592710000004</v>
      </c>
    </row>
    <row r="84" spans="1:11" ht="17.25" x14ac:dyDescent="0.4">
      <c r="A84" s="31" t="s">
        <v>342</v>
      </c>
      <c r="B84" s="72">
        <f t="shared" si="5"/>
        <v>30084.850491300007</v>
      </c>
      <c r="D84" s="61"/>
      <c r="E84" s="66"/>
    </row>
    <row r="85" spans="1:11" x14ac:dyDescent="0.25">
      <c r="A85" s="31" t="s">
        <v>165</v>
      </c>
      <c r="B85" s="60">
        <f>SUM(B80:B84)</f>
        <v>141913.20020130003</v>
      </c>
      <c r="D85" s="61"/>
      <c r="E85" s="66"/>
    </row>
    <row r="87" spans="1:11" x14ac:dyDescent="0.25">
      <c r="A87" s="31" t="s">
        <v>343</v>
      </c>
      <c r="B87" s="61">
        <f>B85*0.05</f>
        <v>7095.6600100650021</v>
      </c>
    </row>
    <row r="89" spans="1:11" x14ac:dyDescent="0.25">
      <c r="A89" s="31" t="s">
        <v>350</v>
      </c>
      <c r="D89" s="61">
        <f>B$87/4</f>
        <v>1773.9150025162505</v>
      </c>
      <c r="E89" s="66">
        <v>42720</v>
      </c>
      <c r="F89" s="31" t="s">
        <v>345</v>
      </c>
      <c r="K89" s="73"/>
    </row>
    <row r="90" spans="1:11" x14ac:dyDescent="0.25">
      <c r="A90" s="31" t="s">
        <v>351</v>
      </c>
      <c r="D90" s="61">
        <f t="shared" ref="D90:D92" si="6">B$87/4</f>
        <v>1773.9150025162505</v>
      </c>
      <c r="E90" s="66">
        <f>E89+45</f>
        <v>42765</v>
      </c>
      <c r="F90" s="31" t="s">
        <v>345</v>
      </c>
      <c r="K90" s="73"/>
    </row>
    <row r="91" spans="1:11" x14ac:dyDescent="0.25">
      <c r="A91" s="31" t="s">
        <v>352</v>
      </c>
      <c r="D91" s="61">
        <f t="shared" si="6"/>
        <v>1773.9150025162505</v>
      </c>
      <c r="E91" s="66">
        <f>E90+45</f>
        <v>42810</v>
      </c>
      <c r="F91" s="31" t="s">
        <v>345</v>
      </c>
    </row>
    <row r="92" spans="1:11" x14ac:dyDescent="0.25">
      <c r="A92" s="31" t="s">
        <v>353</v>
      </c>
      <c r="D92" s="61">
        <f t="shared" si="6"/>
        <v>1773.9150025162505</v>
      </c>
      <c r="E92" s="66">
        <f>E91+45</f>
        <v>42855</v>
      </c>
      <c r="F92" s="31" t="s">
        <v>345</v>
      </c>
    </row>
  </sheetData>
  <mergeCells count="1">
    <mergeCell ref="A22:B23"/>
  </mergeCells>
  <pageMargins left="0.7" right="0.7" top="0.75" bottom="0.75" header="0.3" footer="0.3"/>
  <pageSetup scale="36" orientation="landscape" r:id="rId1"/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48" sqref="E48:P48"/>
    </sheetView>
  </sheetViews>
  <sheetFormatPr defaultRowHeight="15" x14ac:dyDescent="0.25"/>
  <cols>
    <col min="1" max="1" width="48.85546875" style="18" customWidth="1"/>
    <col min="2" max="2" width="9.140625" style="13"/>
    <col min="3" max="3" width="13.140625" style="13" bestFit="1" customWidth="1"/>
    <col min="4" max="4" width="13.140625" style="14" customWidth="1"/>
    <col min="5" max="15" width="11.7109375" style="15" bestFit="1" customWidth="1"/>
    <col min="16" max="16" width="13.7109375" style="15" bestFit="1" customWidth="1"/>
    <col min="17" max="17" width="13.7109375" style="16" bestFit="1" customWidth="1"/>
    <col min="18" max="18" width="13.7109375" style="17" bestFit="1" customWidth="1"/>
    <col min="19" max="19" width="9.140625" style="15"/>
    <col min="20" max="20" width="65.28515625" style="18" customWidth="1"/>
    <col min="21" max="16384" width="9.140625" style="18"/>
  </cols>
  <sheetData>
    <row r="1" spans="1:20" x14ac:dyDescent="0.25">
      <c r="A1" s="12" t="s">
        <v>200</v>
      </c>
    </row>
    <row r="3" spans="1:20" s="19" customFormat="1" x14ac:dyDescent="0.25">
      <c r="D3" s="20" t="s">
        <v>201</v>
      </c>
      <c r="E3" s="21">
        <v>42370</v>
      </c>
      <c r="F3" s="21">
        <v>42401</v>
      </c>
      <c r="G3" s="21">
        <v>42430</v>
      </c>
      <c r="H3" s="21">
        <v>42461</v>
      </c>
      <c r="I3" s="21">
        <v>42491</v>
      </c>
      <c r="J3" s="21">
        <v>42522</v>
      </c>
      <c r="K3" s="21">
        <v>42552</v>
      </c>
      <c r="L3" s="21">
        <v>42583</v>
      </c>
      <c r="M3" s="21">
        <v>42614</v>
      </c>
      <c r="N3" s="21">
        <v>42644</v>
      </c>
      <c r="O3" s="21">
        <v>42675</v>
      </c>
      <c r="P3" s="21">
        <v>42705</v>
      </c>
      <c r="Q3" s="22" t="s">
        <v>202</v>
      </c>
      <c r="R3" s="23">
        <v>2015</v>
      </c>
      <c r="S3" s="21" t="s">
        <v>0</v>
      </c>
      <c r="T3" s="19" t="s">
        <v>203</v>
      </c>
    </row>
    <row r="4" spans="1:20" s="30" customFormat="1" x14ac:dyDescent="0.25">
      <c r="A4" s="24" t="s">
        <v>204</v>
      </c>
      <c r="B4" s="25" t="s">
        <v>205</v>
      </c>
      <c r="C4" s="25" t="s">
        <v>5</v>
      </c>
      <c r="D4" s="26"/>
      <c r="E4" s="27">
        <f>'[1]Min Rent 2016'!E16</f>
        <v>25525</v>
      </c>
      <c r="F4" s="27">
        <f>'[1]Min Rent 2016'!F16</f>
        <v>25525</v>
      </c>
      <c r="G4" s="27">
        <f>'[1]Min Rent 2016'!G16</f>
        <v>25525</v>
      </c>
      <c r="H4" s="27">
        <f>'[1]Min Rent 2016'!H16</f>
        <v>25525</v>
      </c>
      <c r="I4" s="27">
        <f>'[1]Min Rent 2016'!I16</f>
        <v>26717.258064516129</v>
      </c>
      <c r="J4" s="27">
        <f>'[1]Min Rent 2016'!J16</f>
        <v>28165</v>
      </c>
      <c r="K4" s="27">
        <f>'[1]Min Rent 2016'!K16</f>
        <v>29515</v>
      </c>
      <c r="L4" s="27">
        <f>'[1]Min Rent 2016'!L16</f>
        <v>29515</v>
      </c>
      <c r="M4" s="27">
        <f>'[1]Min Rent 2016'!M16</f>
        <v>30628.75</v>
      </c>
      <c r="N4" s="27">
        <f>'[1]Min Rent 2016'!N16</f>
        <v>31742.5</v>
      </c>
      <c r="O4" s="27">
        <f>'[1]Min Rent 2016'!O16</f>
        <v>33970</v>
      </c>
      <c r="P4" s="27">
        <f>'[1]Min Rent 2016'!P16</f>
        <v>33970</v>
      </c>
      <c r="Q4" s="28">
        <f>SUM(E4:P4)</f>
        <v>346323.50806451612</v>
      </c>
      <c r="R4" s="29"/>
      <c r="S4" s="27"/>
    </row>
    <row r="5" spans="1:20" x14ac:dyDescent="0.25">
      <c r="A5" s="31" t="s">
        <v>206</v>
      </c>
      <c r="B5" s="32" t="s">
        <v>205</v>
      </c>
      <c r="C5" s="32" t="s">
        <v>15</v>
      </c>
      <c r="D5" s="33"/>
      <c r="E5" s="15">
        <f>'[1]CAM 2016'!E16</f>
        <v>2145</v>
      </c>
      <c r="F5" s="15">
        <f>'[1]CAM 2016'!F16</f>
        <v>2145</v>
      </c>
      <c r="G5" s="15">
        <f>'[1]CAM 2016'!G16</f>
        <v>2145</v>
      </c>
      <c r="H5" s="15">
        <f>'[1]CAM 2016'!H16</f>
        <v>2145</v>
      </c>
      <c r="I5" s="15">
        <f>'[1]CAM 2016'!I16</f>
        <v>2300.3548387096776</v>
      </c>
      <c r="J5" s="15">
        <f>'[1]CAM 2016'!J16</f>
        <v>2489</v>
      </c>
      <c r="K5" s="15">
        <f>'[1]CAM 2016'!K16</f>
        <v>2489</v>
      </c>
      <c r="L5" s="15">
        <f>'[1]CAM 2016'!L16</f>
        <v>2489</v>
      </c>
      <c r="M5" s="15">
        <f>'[1]CAM 2016'!M16</f>
        <v>2646</v>
      </c>
      <c r="N5" s="15">
        <f>'[1]CAM 2016'!N16</f>
        <v>2803</v>
      </c>
      <c r="O5" s="15">
        <f>'[1]CAM 2016'!O16</f>
        <v>3117</v>
      </c>
      <c r="P5" s="15">
        <f>'[1]CAM 2016'!P16</f>
        <v>3117</v>
      </c>
      <c r="Q5" s="16">
        <f t="shared" ref="Q5:Q8" si="0">SUM(E5:P5)</f>
        <v>30030.354838709678</v>
      </c>
    </row>
    <row r="6" spans="1:20" s="30" customFormat="1" x14ac:dyDescent="0.25">
      <c r="A6" s="24" t="s">
        <v>207</v>
      </c>
      <c r="B6" s="25" t="s">
        <v>205</v>
      </c>
      <c r="C6" s="25" t="s">
        <v>19</v>
      </c>
      <c r="D6" s="26"/>
      <c r="E6" s="27">
        <f>'[1]RETaxes 2016'!E16</f>
        <v>6007</v>
      </c>
      <c r="F6" s="27">
        <f>'[1]RETaxes 2016'!F16</f>
        <v>6007</v>
      </c>
      <c r="G6" s="27">
        <f>'[1]RETaxes 2016'!G16</f>
        <v>6007</v>
      </c>
      <c r="H6" s="27">
        <f>'[1]RETaxes 2016'!H16</f>
        <v>6007</v>
      </c>
      <c r="I6" s="27">
        <f>'[1]RETaxes 2016'!I16</f>
        <v>6200.7419354838712</v>
      </c>
      <c r="J6" s="27">
        <f>'[1]RETaxes 2016'!J16</f>
        <v>6436</v>
      </c>
      <c r="K6" s="27">
        <f>'[1]RETaxes 2016'!K16</f>
        <v>6436</v>
      </c>
      <c r="L6" s="27">
        <f>'[1]RETaxes 2016'!L16</f>
        <v>6436</v>
      </c>
      <c r="M6" s="27">
        <f>'[1]RETaxes 2016'!M16</f>
        <v>6632</v>
      </c>
      <c r="N6" s="27">
        <f>'[1]RETaxes 2016'!N16</f>
        <v>6828</v>
      </c>
      <c r="O6" s="27">
        <f>'[1]RETaxes 2016'!O16</f>
        <v>7220</v>
      </c>
      <c r="P6" s="27">
        <f>'[1]RETaxes 2016'!P16</f>
        <v>7220</v>
      </c>
      <c r="Q6" s="28">
        <f t="shared" si="0"/>
        <v>77436.741935483878</v>
      </c>
      <c r="R6" s="29"/>
      <c r="S6" s="27"/>
    </row>
    <row r="7" spans="1:20" x14ac:dyDescent="0.25">
      <c r="A7" s="31" t="s">
        <v>208</v>
      </c>
      <c r="B7" s="32" t="s">
        <v>205</v>
      </c>
      <c r="C7" s="32" t="s">
        <v>17</v>
      </c>
      <c r="D7" s="33"/>
      <c r="E7" s="15">
        <f>'[1]Ins 2016'!D16</f>
        <v>390</v>
      </c>
      <c r="F7" s="15">
        <f>'[1]Ins 2016'!E16</f>
        <v>390</v>
      </c>
      <c r="G7" s="15">
        <f>'[1]Ins 2016'!F16</f>
        <v>390</v>
      </c>
      <c r="H7" s="15">
        <f>'[1]Ins 2016'!G16</f>
        <v>390</v>
      </c>
      <c r="I7" s="15">
        <f>'[1]Ins 2016'!H16</f>
        <v>390</v>
      </c>
      <c r="J7" s="15">
        <f>'[1]Ins 2016'!I16</f>
        <v>390</v>
      </c>
      <c r="K7" s="15">
        <f>'[1]Ins 2016'!J16</f>
        <v>390</v>
      </c>
      <c r="L7" s="15">
        <f>'[1]Ins 2016'!K16</f>
        <v>390</v>
      </c>
      <c r="M7" s="15">
        <f>'[1]Ins 2016'!L16</f>
        <v>390</v>
      </c>
      <c r="N7" s="15">
        <f>'[1]Ins 2016'!M16</f>
        <v>390</v>
      </c>
      <c r="O7" s="15">
        <f>'[1]Ins 2016'!N16</f>
        <v>390</v>
      </c>
      <c r="P7" s="15">
        <f>'[1]Ins 2016'!O16</f>
        <v>390</v>
      </c>
      <c r="Q7" s="16">
        <f t="shared" si="0"/>
        <v>4680</v>
      </c>
    </row>
    <row r="8" spans="1:20" s="30" customFormat="1" x14ac:dyDescent="0.25">
      <c r="A8" s="24" t="s">
        <v>209</v>
      </c>
      <c r="B8" s="25" t="s">
        <v>205</v>
      </c>
      <c r="C8" s="25" t="s">
        <v>210</v>
      </c>
      <c r="D8" s="26"/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8">
        <f t="shared" si="0"/>
        <v>0</v>
      </c>
      <c r="R8" s="29"/>
      <c r="S8" s="27"/>
    </row>
    <row r="10" spans="1:20" s="34" customFormat="1" x14ac:dyDescent="0.25">
      <c r="A10" s="34" t="s">
        <v>211</v>
      </c>
      <c r="B10" s="35"/>
      <c r="C10" s="35"/>
      <c r="D10" s="36"/>
      <c r="E10" s="37">
        <f>SUM(E4:E9)</f>
        <v>34067</v>
      </c>
      <c r="F10" s="37">
        <f t="shared" ref="F10:P10" si="1">SUM(F4:F9)</f>
        <v>34067</v>
      </c>
      <c r="G10" s="37">
        <f t="shared" si="1"/>
        <v>34067</v>
      </c>
      <c r="H10" s="37">
        <f t="shared" si="1"/>
        <v>34067</v>
      </c>
      <c r="I10" s="37">
        <f t="shared" si="1"/>
        <v>35608.354838709682</v>
      </c>
      <c r="J10" s="37">
        <f t="shared" si="1"/>
        <v>37480</v>
      </c>
      <c r="K10" s="37">
        <f t="shared" si="1"/>
        <v>38830</v>
      </c>
      <c r="L10" s="37">
        <f t="shared" si="1"/>
        <v>38830</v>
      </c>
      <c r="M10" s="37">
        <f t="shared" si="1"/>
        <v>40296.75</v>
      </c>
      <c r="N10" s="37">
        <f t="shared" si="1"/>
        <v>41763.5</v>
      </c>
      <c r="O10" s="37">
        <f t="shared" si="1"/>
        <v>44697</v>
      </c>
      <c r="P10" s="37">
        <f t="shared" si="1"/>
        <v>44697</v>
      </c>
      <c r="Q10" s="38">
        <f>SUM(E10:P10)</f>
        <v>458470.6048387097</v>
      </c>
      <c r="R10" s="39"/>
      <c r="S10" s="37"/>
    </row>
    <row r="12" spans="1:20" s="45" customFormat="1" x14ac:dyDescent="0.25">
      <c r="A12" s="34" t="s">
        <v>212</v>
      </c>
      <c r="B12" s="40"/>
      <c r="C12" s="40"/>
      <c r="D12" s="41"/>
      <c r="E12" s="42">
        <v>0</v>
      </c>
      <c r="F12" s="42">
        <v>0</v>
      </c>
      <c r="G12" s="42">
        <v>300000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3">
        <f>SUM(E12:P12)</f>
        <v>300000</v>
      </c>
      <c r="R12" s="44"/>
      <c r="S12" s="42"/>
    </row>
    <row r="14" spans="1:20" s="30" customFormat="1" x14ac:dyDescent="0.25">
      <c r="A14" s="46" t="s">
        <v>213</v>
      </c>
      <c r="B14" s="46" t="s">
        <v>214</v>
      </c>
      <c r="C14" s="46" t="s">
        <v>215</v>
      </c>
      <c r="D14" s="4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  <c r="R14" s="29"/>
      <c r="S14" s="27"/>
    </row>
    <row r="15" spans="1:20" x14ac:dyDescent="0.25">
      <c r="A15" s="18" t="s">
        <v>166</v>
      </c>
      <c r="B15" s="13" t="s">
        <v>205</v>
      </c>
      <c r="C15" s="13" t="s">
        <v>194</v>
      </c>
      <c r="D15" s="14">
        <v>0</v>
      </c>
      <c r="E15" s="15">
        <f>$D15</f>
        <v>0</v>
      </c>
      <c r="F15" s="15">
        <f t="shared" ref="F15:G15" si="2">$D15</f>
        <v>0</v>
      </c>
      <c r="G15" s="15">
        <f t="shared" si="2"/>
        <v>0</v>
      </c>
      <c r="H15" s="15">
        <v>597</v>
      </c>
      <c r="I15" s="15">
        <v>597</v>
      </c>
      <c r="J15" s="15">
        <v>597</v>
      </c>
      <c r="K15" s="15">
        <v>597</v>
      </c>
      <c r="L15" s="15">
        <v>597</v>
      </c>
      <c r="M15" s="15">
        <v>597</v>
      </c>
      <c r="N15" s="15">
        <v>597</v>
      </c>
      <c r="O15" s="15">
        <v>550</v>
      </c>
      <c r="P15" s="15">
        <v>550</v>
      </c>
      <c r="Q15" s="16">
        <f>SUM(E15:P15)</f>
        <v>5279</v>
      </c>
      <c r="R15" s="17">
        <f>'[1]Op Budget 2015'!Q13</f>
        <v>588.5</v>
      </c>
    </row>
    <row r="16" spans="1:20" s="30" customFormat="1" x14ac:dyDescent="0.25">
      <c r="A16" s="30" t="s">
        <v>216</v>
      </c>
      <c r="B16" s="48" t="s">
        <v>205</v>
      </c>
      <c r="C16" s="48" t="s">
        <v>45</v>
      </c>
      <c r="D16" s="49">
        <v>300</v>
      </c>
      <c r="E16" s="27">
        <f>$D16*(1+[1]Assumptions!$B$3)</f>
        <v>304.46999999999997</v>
      </c>
      <c r="F16" s="27">
        <f>$D16*(1+[1]Assumptions!$B$3)</f>
        <v>304.46999999999997</v>
      </c>
      <c r="G16" s="27">
        <f>$D16*(1+[1]Assumptions!$B$3)</f>
        <v>304.46999999999997</v>
      </c>
      <c r="H16" s="27">
        <f>$D16*(1+[1]Assumptions!$B$3)</f>
        <v>304.46999999999997</v>
      </c>
      <c r="I16" s="27">
        <f>$D16*(1+[1]Assumptions!$B$3)</f>
        <v>304.46999999999997</v>
      </c>
      <c r="J16" s="27">
        <f>$D16*(1+[1]Assumptions!$B$3)</f>
        <v>304.46999999999997</v>
      </c>
      <c r="K16" s="27">
        <f>$D16*(1+[1]Assumptions!$B$3)</f>
        <v>304.46999999999997</v>
      </c>
      <c r="L16" s="27">
        <f>$D16*(1+[1]Assumptions!$B$3)</f>
        <v>304.46999999999997</v>
      </c>
      <c r="M16" s="27">
        <f>$D16*(1+[1]Assumptions!$B$3)</f>
        <v>304.46999999999997</v>
      </c>
      <c r="N16" s="27">
        <f>$D16*(1+[1]Assumptions!$B$3)</f>
        <v>304.46999999999997</v>
      </c>
      <c r="O16" s="27">
        <f>$D16*(1+[1]Assumptions!$B$3)</f>
        <v>304.46999999999997</v>
      </c>
      <c r="P16" s="27">
        <f>$D16*(1+[1]Assumptions!$B$3)</f>
        <v>304.46999999999997</v>
      </c>
      <c r="Q16" s="28">
        <f t="shared" ref="Q16:Q54" si="3">SUM(E16:P16)</f>
        <v>3653.639999999999</v>
      </c>
      <c r="R16" s="29">
        <f>'[1]Op Budget 2015'!Q14</f>
        <v>995.1</v>
      </c>
      <c r="S16" s="27"/>
    </row>
    <row r="17" spans="1:19" x14ac:dyDescent="0.25">
      <c r="A17" s="18" t="s">
        <v>217</v>
      </c>
      <c r="B17" s="13" t="s">
        <v>205</v>
      </c>
      <c r="C17" s="13" t="s">
        <v>47</v>
      </c>
      <c r="D17" s="14">
        <v>500</v>
      </c>
      <c r="E17" s="15">
        <f>$D17</f>
        <v>500</v>
      </c>
      <c r="F17" s="15">
        <f t="shared" ref="F17:H17" si="4">$D17</f>
        <v>500</v>
      </c>
      <c r="G17" s="15">
        <f t="shared" si="4"/>
        <v>500</v>
      </c>
      <c r="H17" s="15">
        <f t="shared" si="4"/>
        <v>500</v>
      </c>
      <c r="I17" s="15">
        <v>203</v>
      </c>
      <c r="J17" s="15">
        <v>203</v>
      </c>
      <c r="K17" s="15">
        <v>203</v>
      </c>
      <c r="L17" s="15">
        <v>203</v>
      </c>
      <c r="M17" s="15">
        <v>203</v>
      </c>
      <c r="N17" s="15">
        <v>203</v>
      </c>
      <c r="O17" s="15">
        <v>203</v>
      </c>
      <c r="P17" s="15">
        <v>203</v>
      </c>
      <c r="Q17" s="16">
        <f t="shared" si="3"/>
        <v>3624</v>
      </c>
      <c r="R17" s="17">
        <f>'[1]Op Budget 2015'!Q15</f>
        <v>3610.5</v>
      </c>
    </row>
    <row r="18" spans="1:19" s="30" customFormat="1" x14ac:dyDescent="0.25">
      <c r="A18" s="30" t="s">
        <v>218</v>
      </c>
      <c r="B18" s="48" t="s">
        <v>205</v>
      </c>
      <c r="C18" s="48" t="s">
        <v>219</v>
      </c>
      <c r="D18" s="49">
        <v>0</v>
      </c>
      <c r="E18" s="27">
        <f>$D18*(1+[1]Assumptions!$B$3)</f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8">
        <f t="shared" si="3"/>
        <v>0</v>
      </c>
      <c r="R18" s="29">
        <f>'[1]Op Budget 2015'!Q16</f>
        <v>0</v>
      </c>
      <c r="S18" s="27"/>
    </row>
    <row r="19" spans="1:19" x14ac:dyDescent="0.25">
      <c r="A19" s="18" t="s">
        <v>220</v>
      </c>
      <c r="B19" s="13" t="s">
        <v>205</v>
      </c>
      <c r="C19" s="13" t="s">
        <v>221</v>
      </c>
      <c r="D19" s="14">
        <v>0</v>
      </c>
      <c r="E19" s="15">
        <f>$D19*(1+[1]Assumptions!$B$3)</f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6">
        <f t="shared" si="3"/>
        <v>0</v>
      </c>
      <c r="R19" s="17">
        <f>'[1]Op Budget 2015'!Q17</f>
        <v>0</v>
      </c>
    </row>
    <row r="20" spans="1:19" s="30" customFormat="1" x14ac:dyDescent="0.25">
      <c r="A20" s="30" t="s">
        <v>222</v>
      </c>
      <c r="B20" s="48" t="s">
        <v>205</v>
      </c>
      <c r="C20" s="48" t="s">
        <v>223</v>
      </c>
      <c r="D20" s="49">
        <v>457</v>
      </c>
      <c r="E20" s="27">
        <f>$D20*(1+[1]Assumptions!$B$3)</f>
        <v>463.80929999999995</v>
      </c>
      <c r="F20" s="27">
        <f>$D20*(1+[1]Assumptions!$B$3)</f>
        <v>463.80929999999995</v>
      </c>
      <c r="G20" s="27">
        <f>$D20*(1+[1]Assumptions!$B$3)</f>
        <v>463.80929999999995</v>
      </c>
      <c r="H20" s="27">
        <f>$D20*(1+[1]Assumptions!$B$3)</f>
        <v>463.80929999999995</v>
      </c>
      <c r="I20" s="27">
        <f>$D20*(1+[1]Assumptions!$B$3)</f>
        <v>463.80929999999995</v>
      </c>
      <c r="J20" s="27">
        <f>$D20*(1+[1]Assumptions!$B$3)</f>
        <v>463.80929999999995</v>
      </c>
      <c r="K20" s="27">
        <f>$D20*(1+[1]Assumptions!$B$3)</f>
        <v>463.80929999999995</v>
      </c>
      <c r="L20" s="27">
        <f>$D20*(1+[1]Assumptions!$B$3)</f>
        <v>463.80929999999995</v>
      </c>
      <c r="M20" s="27">
        <f>$D20*(1+[1]Assumptions!$B$3)</f>
        <v>463.80929999999995</v>
      </c>
      <c r="N20" s="27">
        <f>$D20*(1+[1]Assumptions!$B$3)</f>
        <v>463.80929999999995</v>
      </c>
      <c r="O20" s="27">
        <f>$D20*(1+[1]Assumptions!$B$3)</f>
        <v>463.80929999999995</v>
      </c>
      <c r="P20" s="27">
        <f>$D20*(1+[1]Assumptions!$B$3)</f>
        <v>463.80929999999995</v>
      </c>
      <c r="Q20" s="28">
        <f t="shared" si="3"/>
        <v>5565.7115999999996</v>
      </c>
      <c r="R20" s="29">
        <f>'[1]Op Budget 2015'!Q18</f>
        <v>0</v>
      </c>
      <c r="S20" s="27"/>
    </row>
    <row r="21" spans="1:19" x14ac:dyDescent="0.25">
      <c r="A21" s="18" t="s">
        <v>224</v>
      </c>
      <c r="B21" s="13" t="s">
        <v>205</v>
      </c>
      <c r="C21" s="13" t="s">
        <v>49</v>
      </c>
      <c r="D21" s="14">
        <v>0</v>
      </c>
      <c r="E21" s="15">
        <v>1070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1000</v>
      </c>
      <c r="P21" s="15">
        <v>1000</v>
      </c>
      <c r="Q21" s="16">
        <f t="shared" si="3"/>
        <v>3070</v>
      </c>
      <c r="R21" s="17">
        <f>'[1]Op Budget 2015'!Q19</f>
        <v>6981.2</v>
      </c>
    </row>
    <row r="22" spans="1:19" s="30" customFormat="1" x14ac:dyDescent="0.25">
      <c r="A22" s="30" t="s">
        <v>225</v>
      </c>
      <c r="B22" s="48" t="s">
        <v>205</v>
      </c>
      <c r="C22" s="48" t="s">
        <v>226</v>
      </c>
      <c r="D22" s="49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8">
        <f t="shared" si="3"/>
        <v>0</v>
      </c>
      <c r="R22" s="29">
        <f>'[1]Op Budget 2015'!Q20</f>
        <v>1500</v>
      </c>
      <c r="S22" s="27"/>
    </row>
    <row r="23" spans="1:19" x14ac:dyDescent="0.25">
      <c r="A23" s="18" t="s">
        <v>227</v>
      </c>
      <c r="B23" s="13" t="s">
        <v>205</v>
      </c>
      <c r="C23" s="13" t="s">
        <v>228</v>
      </c>
      <c r="D23" s="14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6">
        <f t="shared" si="3"/>
        <v>0</v>
      </c>
      <c r="R23" s="17">
        <f>'[1]Op Budget 2015'!Q21</f>
        <v>0</v>
      </c>
    </row>
    <row r="24" spans="1:19" s="30" customFormat="1" x14ac:dyDescent="0.25">
      <c r="A24" s="30" t="s">
        <v>167</v>
      </c>
      <c r="B24" s="48" t="s">
        <v>205</v>
      </c>
      <c r="C24" s="48" t="s">
        <v>192</v>
      </c>
      <c r="D24" s="49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8">
        <f t="shared" si="3"/>
        <v>0</v>
      </c>
      <c r="R24" s="29">
        <f>'[1]Op Budget 2015'!Q22</f>
        <v>0</v>
      </c>
      <c r="S24" s="27"/>
    </row>
    <row r="25" spans="1:19" x14ac:dyDescent="0.25">
      <c r="A25" s="18" t="s">
        <v>229</v>
      </c>
      <c r="B25" s="13" t="s">
        <v>205</v>
      </c>
      <c r="C25" s="13" t="s">
        <v>51</v>
      </c>
      <c r="D25" s="14">
        <v>0</v>
      </c>
      <c r="E25" s="15">
        <v>0</v>
      </c>
      <c r="F25" s="15">
        <v>0</v>
      </c>
      <c r="G25" s="15">
        <v>0</v>
      </c>
      <c r="H25" s="15">
        <v>420</v>
      </c>
      <c r="I25" s="15">
        <v>500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6">
        <f t="shared" si="3"/>
        <v>920</v>
      </c>
      <c r="R25" s="17">
        <f>'[1]Op Budget 2015'!Q23</f>
        <v>1093.5999999999999</v>
      </c>
    </row>
    <row r="26" spans="1:19" s="30" customFormat="1" x14ac:dyDescent="0.25">
      <c r="A26" s="30" t="s">
        <v>168</v>
      </c>
      <c r="B26" s="48" t="s">
        <v>205</v>
      </c>
      <c r="C26" s="48" t="s">
        <v>53</v>
      </c>
      <c r="D26" s="49">
        <v>0</v>
      </c>
      <c r="E26" s="27">
        <v>0</v>
      </c>
      <c r="F26" s="27">
        <v>0</v>
      </c>
      <c r="G26" s="27">
        <v>0</v>
      </c>
      <c r="H26" s="27">
        <v>2600</v>
      </c>
      <c r="I26" s="27">
        <v>4200</v>
      </c>
      <c r="J26" s="27">
        <v>0</v>
      </c>
      <c r="K26" s="27">
        <v>0</v>
      </c>
      <c r="L26" s="27">
        <v>2500</v>
      </c>
      <c r="M26" s="27">
        <v>0</v>
      </c>
      <c r="N26" s="27">
        <v>0</v>
      </c>
      <c r="O26" s="27">
        <v>2500</v>
      </c>
      <c r="P26" s="27">
        <v>0</v>
      </c>
      <c r="Q26" s="28">
        <f t="shared" si="3"/>
        <v>11800</v>
      </c>
      <c r="R26" s="29">
        <f>'[1]Op Budget 2015'!Q24</f>
        <v>17403.190000000002</v>
      </c>
      <c r="S26" s="27"/>
    </row>
    <row r="27" spans="1:19" s="30" customFormat="1" x14ac:dyDescent="0.25">
      <c r="A27" s="30" t="s">
        <v>169</v>
      </c>
      <c r="B27" s="48" t="s">
        <v>205</v>
      </c>
      <c r="C27" s="48" t="s">
        <v>55</v>
      </c>
      <c r="D27" s="49">
        <v>0</v>
      </c>
      <c r="E27" s="27">
        <v>400</v>
      </c>
      <c r="F27" s="27">
        <v>400</v>
      </c>
      <c r="G27" s="27">
        <v>400</v>
      </c>
      <c r="H27" s="27">
        <v>400</v>
      </c>
      <c r="I27" s="27">
        <v>400</v>
      </c>
      <c r="J27" s="27">
        <v>400</v>
      </c>
      <c r="K27" s="27">
        <v>400</v>
      </c>
      <c r="L27" s="27">
        <v>400</v>
      </c>
      <c r="M27" s="27">
        <v>400</v>
      </c>
      <c r="N27" s="27">
        <v>400</v>
      </c>
      <c r="O27" s="27">
        <v>400</v>
      </c>
      <c r="P27" s="27">
        <v>400</v>
      </c>
      <c r="Q27" s="28">
        <f t="shared" si="3"/>
        <v>4800</v>
      </c>
      <c r="R27" s="29">
        <f>'[1]Op Budget 2015'!Q25</f>
        <v>16309.830000000002</v>
      </c>
      <c r="S27" s="27"/>
    </row>
    <row r="28" spans="1:19" s="30" customFormat="1" x14ac:dyDescent="0.25">
      <c r="A28" s="30" t="s">
        <v>170</v>
      </c>
      <c r="B28" s="48" t="s">
        <v>205</v>
      </c>
      <c r="C28" s="48" t="s">
        <v>57</v>
      </c>
      <c r="D28" s="49">
        <v>0</v>
      </c>
      <c r="E28" s="27">
        <v>0</v>
      </c>
      <c r="F28" s="27">
        <f>$D28*(1+[1]Assumptions!$B$3)</f>
        <v>0</v>
      </c>
      <c r="G28" s="27">
        <f>$D28*(1+[1]Assumptions!$B$3)</f>
        <v>0</v>
      </c>
      <c r="H28" s="27">
        <v>0</v>
      </c>
      <c r="I28" s="27">
        <f>$D28*(1+[1]Assumptions!$B$3)</f>
        <v>0</v>
      </c>
      <c r="J28" s="27">
        <f>$D28*(1+[1]Assumptions!$B$3)</f>
        <v>0</v>
      </c>
      <c r="K28" s="27">
        <v>0</v>
      </c>
      <c r="L28" s="27">
        <f>$D28*(1+[1]Assumptions!$B$3)</f>
        <v>0</v>
      </c>
      <c r="M28" s="27">
        <f>$D28*(1+[1]Assumptions!$B$3)</f>
        <v>0</v>
      </c>
      <c r="N28" s="27">
        <v>0</v>
      </c>
      <c r="O28" s="27">
        <f>$D28*(1+[1]Assumptions!$B$3)</f>
        <v>0</v>
      </c>
      <c r="P28" s="27">
        <f>$D28*(1+[1]Assumptions!$B$3)</f>
        <v>0</v>
      </c>
      <c r="Q28" s="28">
        <f t="shared" si="3"/>
        <v>0</v>
      </c>
      <c r="R28" s="29">
        <f>'[1]Op Budget 2015'!Q26</f>
        <v>3830.1099999999997</v>
      </c>
      <c r="S28" s="27"/>
    </row>
    <row r="29" spans="1:19" x14ac:dyDescent="0.25">
      <c r="A29" s="18" t="s">
        <v>230</v>
      </c>
      <c r="B29" s="13" t="s">
        <v>205</v>
      </c>
      <c r="C29" s="13" t="s">
        <v>231</v>
      </c>
      <c r="D29" s="14">
        <v>0</v>
      </c>
      <c r="E29" s="15">
        <f>E10*0.05</f>
        <v>1703.3500000000001</v>
      </c>
      <c r="F29" s="15">
        <f t="shared" ref="F29:P29" si="5">F10*0.05</f>
        <v>1703.3500000000001</v>
      </c>
      <c r="G29" s="15">
        <f t="shared" si="5"/>
        <v>1703.3500000000001</v>
      </c>
      <c r="H29" s="15">
        <f t="shared" si="5"/>
        <v>1703.3500000000001</v>
      </c>
      <c r="I29" s="15">
        <f t="shared" si="5"/>
        <v>1780.4177419354842</v>
      </c>
      <c r="J29" s="15">
        <f t="shared" si="5"/>
        <v>1874</v>
      </c>
      <c r="K29" s="15">
        <f t="shared" si="5"/>
        <v>1941.5</v>
      </c>
      <c r="L29" s="15">
        <f t="shared" si="5"/>
        <v>1941.5</v>
      </c>
      <c r="M29" s="15">
        <f t="shared" si="5"/>
        <v>2014.8375000000001</v>
      </c>
      <c r="N29" s="15">
        <f t="shared" si="5"/>
        <v>2088.1750000000002</v>
      </c>
      <c r="O29" s="15">
        <f t="shared" si="5"/>
        <v>2234.85</v>
      </c>
      <c r="P29" s="15">
        <f t="shared" si="5"/>
        <v>2234.85</v>
      </c>
      <c r="Q29" s="16">
        <f t="shared" si="3"/>
        <v>22923.530241935481</v>
      </c>
      <c r="R29" s="17">
        <f>'[1]Op Budget 2015'!Q27</f>
        <v>0</v>
      </c>
    </row>
    <row r="30" spans="1:19" s="30" customFormat="1" x14ac:dyDescent="0.25">
      <c r="A30" s="30" t="s">
        <v>232</v>
      </c>
      <c r="B30" s="48" t="s">
        <v>205</v>
      </c>
      <c r="C30" s="48" t="s">
        <v>233</v>
      </c>
      <c r="D30" s="49">
        <f>'[1]Op Budget 2015'!Q28/12</f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8">
        <f t="shared" si="3"/>
        <v>0</v>
      </c>
      <c r="R30" s="29">
        <f>'[1]Op Budget 2015'!Q28</f>
        <v>0</v>
      </c>
      <c r="S30" s="27"/>
    </row>
    <row r="31" spans="1:19" x14ac:dyDescent="0.25">
      <c r="A31" s="18" t="s">
        <v>234</v>
      </c>
      <c r="B31" s="13" t="s">
        <v>205</v>
      </c>
      <c r="C31" s="13" t="s">
        <v>63</v>
      </c>
      <c r="D31" s="14">
        <v>200</v>
      </c>
      <c r="E31" s="15">
        <f>$D31*(1+[1]Assumptions!$B$3)</f>
        <v>202.98</v>
      </c>
      <c r="F31" s="15">
        <f>$D31*(1+[1]Assumptions!$B$3)</f>
        <v>202.98</v>
      </c>
      <c r="G31" s="15">
        <f>$D31*(1+[1]Assumptions!$B$3)</f>
        <v>202.98</v>
      </c>
      <c r="H31" s="15">
        <f>$D31*(1+[1]Assumptions!$B$3)</f>
        <v>202.98</v>
      </c>
      <c r="I31" s="15">
        <f>$D31*(1+[1]Assumptions!$B$3)</f>
        <v>202.98</v>
      </c>
      <c r="J31" s="15">
        <f>$D31*(1+[1]Assumptions!$B$3)</f>
        <v>202.98</v>
      </c>
      <c r="K31" s="15">
        <f>$D31*(1+[1]Assumptions!$B$3)</f>
        <v>202.98</v>
      </c>
      <c r="L31" s="15">
        <f>$D31*(1+[1]Assumptions!$B$3)</f>
        <v>202.98</v>
      </c>
      <c r="M31" s="15">
        <f>$D31*(1+[1]Assumptions!$B$3)</f>
        <v>202.98</v>
      </c>
      <c r="N31" s="15">
        <f>$D31*(1+[1]Assumptions!$B$3)</f>
        <v>202.98</v>
      </c>
      <c r="O31" s="15">
        <f>$D31*(1+[1]Assumptions!$B$3)</f>
        <v>202.98</v>
      </c>
      <c r="P31" s="15">
        <f>$D31*(1+[1]Assumptions!$B$3)</f>
        <v>202.98</v>
      </c>
      <c r="Q31" s="16">
        <f t="shared" si="3"/>
        <v>2435.7599999999998</v>
      </c>
      <c r="R31" s="17">
        <f>'[1]Op Budget 2015'!Q29</f>
        <v>16278.9</v>
      </c>
    </row>
    <row r="32" spans="1:19" s="30" customFormat="1" x14ac:dyDescent="0.25">
      <c r="A32" s="30" t="s">
        <v>235</v>
      </c>
      <c r="B32" s="48" t="s">
        <v>205</v>
      </c>
      <c r="C32" s="48" t="s">
        <v>236</v>
      </c>
      <c r="D32" s="49">
        <f>'[1]Op Budget 2015'!Q30/12</f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8">
        <f t="shared" si="3"/>
        <v>0</v>
      </c>
      <c r="R32" s="29">
        <f>'[1]Op Budget 2015'!Q30</f>
        <v>0</v>
      </c>
      <c r="S32" s="27"/>
    </row>
    <row r="33" spans="1:19" x14ac:dyDescent="0.25">
      <c r="A33" s="18" t="s">
        <v>237</v>
      </c>
      <c r="B33" s="13" t="s">
        <v>205</v>
      </c>
      <c r="C33" s="13" t="s">
        <v>238</v>
      </c>
      <c r="D33" s="14">
        <f>'[1]Op Budget 2015'!Q31/12</f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6">
        <f t="shared" si="3"/>
        <v>0</v>
      </c>
      <c r="R33" s="17">
        <f>'[1]Op Budget 2015'!Q31</f>
        <v>0</v>
      </c>
    </row>
    <row r="34" spans="1:19" s="30" customFormat="1" x14ac:dyDescent="0.25">
      <c r="A34" s="30" t="s">
        <v>239</v>
      </c>
      <c r="B34" s="48" t="s">
        <v>205</v>
      </c>
      <c r="C34" s="48" t="s">
        <v>71</v>
      </c>
      <c r="D34" s="49">
        <v>0</v>
      </c>
      <c r="E34" s="27">
        <v>22163.75</v>
      </c>
      <c r="F34" s="27">
        <v>0</v>
      </c>
      <c r="G34" s="27">
        <v>0</v>
      </c>
      <c r="H34" s="27">
        <v>22163.75</v>
      </c>
      <c r="I34" s="27">
        <v>0</v>
      </c>
      <c r="J34" s="27">
        <v>0</v>
      </c>
      <c r="K34" s="27">
        <v>22163.75</v>
      </c>
      <c r="L34" s="27">
        <v>0</v>
      </c>
      <c r="M34" s="27">
        <v>0</v>
      </c>
      <c r="N34" s="27">
        <v>22163.75</v>
      </c>
      <c r="O34" s="27">
        <v>0</v>
      </c>
      <c r="P34" s="27">
        <v>0</v>
      </c>
      <c r="Q34" s="28">
        <f t="shared" si="3"/>
        <v>88655</v>
      </c>
      <c r="R34" s="29">
        <f>'[1]Op Budget 2015'!Q32</f>
        <v>88655</v>
      </c>
      <c r="S34" s="27"/>
    </row>
    <row r="35" spans="1:19" x14ac:dyDescent="0.25">
      <c r="A35" s="18" t="s">
        <v>240</v>
      </c>
      <c r="B35" s="13" t="s">
        <v>205</v>
      </c>
      <c r="C35" s="13" t="s">
        <v>73</v>
      </c>
      <c r="D35" s="14">
        <v>0</v>
      </c>
      <c r="E35" s="15">
        <v>0</v>
      </c>
      <c r="F35" s="15">
        <v>0</v>
      </c>
      <c r="G35" s="15">
        <v>300</v>
      </c>
      <c r="H35" s="15">
        <v>0</v>
      </c>
      <c r="I35" s="15">
        <v>0</v>
      </c>
      <c r="J35" s="15">
        <v>970</v>
      </c>
      <c r="K35" s="15">
        <v>0</v>
      </c>
      <c r="L35" s="15">
        <v>0</v>
      </c>
      <c r="M35" s="15">
        <v>970</v>
      </c>
      <c r="N35" s="15">
        <v>0</v>
      </c>
      <c r="O35" s="15">
        <v>0</v>
      </c>
      <c r="P35" s="15">
        <v>0</v>
      </c>
      <c r="Q35" s="16">
        <f t="shared" si="3"/>
        <v>2240</v>
      </c>
      <c r="R35" s="17">
        <f>'[1]Op Budget 2015'!Q33</f>
        <v>1652</v>
      </c>
    </row>
    <row r="36" spans="1:19" s="30" customFormat="1" x14ac:dyDescent="0.25">
      <c r="A36" s="30" t="s">
        <v>241</v>
      </c>
      <c r="B36" s="48" t="s">
        <v>205</v>
      </c>
      <c r="C36" s="48" t="s">
        <v>75</v>
      </c>
      <c r="D36" s="49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8">
        <f t="shared" si="3"/>
        <v>0</v>
      </c>
      <c r="R36" s="29">
        <f>'[1]Op Budget 2015'!Q34</f>
        <v>5019.4699999999993</v>
      </c>
      <c r="S36" s="27"/>
    </row>
    <row r="37" spans="1:19" x14ac:dyDescent="0.25">
      <c r="A37" s="18" t="s">
        <v>242</v>
      </c>
      <c r="B37" s="13" t="s">
        <v>205</v>
      </c>
      <c r="C37" s="13" t="s">
        <v>243</v>
      </c>
      <c r="D37" s="14">
        <f>'[1]Op Budget 2015'!Q35/12</f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6">
        <f t="shared" si="3"/>
        <v>0</v>
      </c>
      <c r="R37" s="17">
        <f>'[1]Op Budget 2015'!Q35</f>
        <v>0</v>
      </c>
    </row>
    <row r="38" spans="1:19" s="30" customFormat="1" x14ac:dyDescent="0.25">
      <c r="A38" s="30" t="s">
        <v>244</v>
      </c>
      <c r="B38" s="48" t="s">
        <v>205</v>
      </c>
      <c r="C38" s="48" t="s">
        <v>245</v>
      </c>
      <c r="D38" s="49">
        <f>'[1]Op Budget 2015'!Q36/12</f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8">
        <f t="shared" si="3"/>
        <v>0</v>
      </c>
      <c r="R38" s="29">
        <f>'[1]Op Budget 2015'!Q36</f>
        <v>0</v>
      </c>
      <c r="S38" s="27"/>
    </row>
    <row r="39" spans="1:19" x14ac:dyDescent="0.25">
      <c r="A39" s="18" t="s">
        <v>246</v>
      </c>
      <c r="B39" s="13" t="s">
        <v>205</v>
      </c>
      <c r="C39" s="13" t="s">
        <v>247</v>
      </c>
      <c r="D39" s="14">
        <f>'[1]Op Budget 2015'!Q37/12</f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6">
        <f t="shared" si="3"/>
        <v>0</v>
      </c>
      <c r="R39" s="17">
        <f>'[1]Op Budget 2015'!Q37</f>
        <v>0</v>
      </c>
    </row>
    <row r="40" spans="1:19" s="30" customFormat="1" x14ac:dyDescent="0.25">
      <c r="A40" s="30" t="s">
        <v>171</v>
      </c>
      <c r="B40" s="48" t="s">
        <v>205</v>
      </c>
      <c r="C40" s="48" t="s">
        <v>79</v>
      </c>
      <c r="D40" s="49">
        <v>15</v>
      </c>
      <c r="E40" s="27">
        <f>$D40*(1+[1]Assumptions!$B$3)</f>
        <v>15.223499999999998</v>
      </c>
      <c r="F40" s="27">
        <f>$D40*(1+[1]Assumptions!$B$3)</f>
        <v>15.223499999999998</v>
      </c>
      <c r="G40" s="27">
        <f>$D40*(1+[1]Assumptions!$B$3)</f>
        <v>15.223499999999998</v>
      </c>
      <c r="H40" s="27">
        <f>$D40*(1+[1]Assumptions!$B$3)</f>
        <v>15.223499999999998</v>
      </c>
      <c r="I40" s="27">
        <f>$D40*(1+[1]Assumptions!$B$3)</f>
        <v>15.223499999999998</v>
      </c>
      <c r="J40" s="27">
        <f>$D40*(1+[1]Assumptions!$B$3)</f>
        <v>15.223499999999998</v>
      </c>
      <c r="K40" s="27">
        <f>$D40*(1+[1]Assumptions!$B$3)</f>
        <v>15.223499999999998</v>
      </c>
      <c r="L40" s="27">
        <f>$D40*(1+[1]Assumptions!$B$3)</f>
        <v>15.223499999999998</v>
      </c>
      <c r="M40" s="27">
        <f>$D40*(1+[1]Assumptions!$B$3)</f>
        <v>15.223499999999998</v>
      </c>
      <c r="N40" s="27">
        <f>$D40*(1+[1]Assumptions!$B$3)</f>
        <v>15.223499999999998</v>
      </c>
      <c r="O40" s="27">
        <f>$D40*(1+[1]Assumptions!$B$3)</f>
        <v>15.223499999999998</v>
      </c>
      <c r="P40" s="27">
        <f>$D40*(1+[1]Assumptions!$B$3)</f>
        <v>15.223499999999998</v>
      </c>
      <c r="Q40" s="28">
        <f t="shared" si="3"/>
        <v>182.68199999999999</v>
      </c>
      <c r="R40" s="29">
        <f>'[1]Op Budget 2015'!Q38</f>
        <v>0</v>
      </c>
      <c r="S40" s="27"/>
    </row>
    <row r="41" spans="1:19" x14ac:dyDescent="0.25">
      <c r="A41" s="18" t="s">
        <v>248</v>
      </c>
      <c r="B41" s="13" t="s">
        <v>205</v>
      </c>
      <c r="C41" s="13" t="s">
        <v>249</v>
      </c>
      <c r="D41" s="14">
        <f>'[1]Op Budget 2015'!Q39/12</f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6">
        <f t="shared" si="3"/>
        <v>0</v>
      </c>
      <c r="R41" s="17">
        <f>'[1]Op Budget 2015'!Q39</f>
        <v>0</v>
      </c>
    </row>
    <row r="42" spans="1:19" s="30" customFormat="1" x14ac:dyDescent="0.25">
      <c r="A42" s="30" t="s">
        <v>172</v>
      </c>
      <c r="B42" s="48" t="s">
        <v>205</v>
      </c>
      <c r="C42" s="48" t="s">
        <v>85</v>
      </c>
      <c r="D42" s="49">
        <f>'[1]Op Budget 2015'!Q40/12</f>
        <v>913.61083333333329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8">
        <f t="shared" si="3"/>
        <v>0</v>
      </c>
      <c r="R42" s="29">
        <f>'[1]Op Budget 2015'!Q40</f>
        <v>10963.33</v>
      </c>
      <c r="S42" s="27"/>
    </row>
    <row r="43" spans="1:19" x14ac:dyDescent="0.25">
      <c r="A43" s="18" t="s">
        <v>250</v>
      </c>
      <c r="B43" s="13" t="s">
        <v>205</v>
      </c>
      <c r="C43" s="13" t="s">
        <v>87</v>
      </c>
      <c r="D43" s="14">
        <v>0</v>
      </c>
      <c r="E43" s="15">
        <v>2000</v>
      </c>
      <c r="F43" s="15">
        <v>200</v>
      </c>
      <c r="G43" s="15">
        <v>2000</v>
      </c>
      <c r="H43" s="15">
        <v>750</v>
      </c>
      <c r="I43" s="15">
        <v>750</v>
      </c>
      <c r="J43" s="15">
        <v>350</v>
      </c>
      <c r="K43" s="15">
        <v>350</v>
      </c>
      <c r="L43" s="15">
        <v>350</v>
      </c>
      <c r="M43" s="15">
        <v>350</v>
      </c>
      <c r="N43" s="15">
        <v>350</v>
      </c>
      <c r="O43" s="15">
        <v>350</v>
      </c>
      <c r="P43" s="15">
        <v>350</v>
      </c>
      <c r="Q43" s="16">
        <f t="shared" si="3"/>
        <v>8150</v>
      </c>
      <c r="R43" s="17">
        <f>'[1]Op Budget 2015'!Q41</f>
        <v>16965.75</v>
      </c>
    </row>
    <row r="44" spans="1:19" s="30" customFormat="1" x14ac:dyDescent="0.25">
      <c r="A44" s="30" t="s">
        <v>251</v>
      </c>
      <c r="B44" s="48" t="s">
        <v>205</v>
      </c>
      <c r="C44" s="48" t="s">
        <v>89</v>
      </c>
      <c r="D44" s="49">
        <v>300</v>
      </c>
      <c r="E44" s="27">
        <f>$D44</f>
        <v>300</v>
      </c>
      <c r="F44" s="27">
        <f t="shared" ref="F44:P44" si="6">$D44</f>
        <v>300</v>
      </c>
      <c r="G44" s="27">
        <f t="shared" si="6"/>
        <v>300</v>
      </c>
      <c r="H44" s="27">
        <f t="shared" si="6"/>
        <v>300</v>
      </c>
      <c r="I44" s="27">
        <f t="shared" si="6"/>
        <v>300</v>
      </c>
      <c r="J44" s="27">
        <f t="shared" si="6"/>
        <v>300</v>
      </c>
      <c r="K44" s="27">
        <f t="shared" si="6"/>
        <v>300</v>
      </c>
      <c r="L44" s="27">
        <f t="shared" si="6"/>
        <v>300</v>
      </c>
      <c r="M44" s="27">
        <f t="shared" si="6"/>
        <v>300</v>
      </c>
      <c r="N44" s="27">
        <f t="shared" si="6"/>
        <v>300</v>
      </c>
      <c r="O44" s="27">
        <f t="shared" si="6"/>
        <v>300</v>
      </c>
      <c r="P44" s="27">
        <f t="shared" si="6"/>
        <v>300</v>
      </c>
      <c r="Q44" s="28">
        <f t="shared" si="3"/>
        <v>3600</v>
      </c>
      <c r="R44" s="29">
        <f>'[1]Op Budget 2015'!Q42</f>
        <v>12170</v>
      </c>
      <c r="S44" s="27"/>
    </row>
    <row r="45" spans="1:19" x14ac:dyDescent="0.25">
      <c r="A45" s="18" t="s">
        <v>252</v>
      </c>
      <c r="B45" s="13" t="s">
        <v>205</v>
      </c>
      <c r="C45" s="13" t="s">
        <v>91</v>
      </c>
      <c r="D45" s="14">
        <f>'[1]Op Budget 2015'!Q43/12</f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6">
        <f t="shared" si="3"/>
        <v>0</v>
      </c>
      <c r="R45" s="17">
        <f>'[1]Op Budget 2015'!Q43</f>
        <v>0</v>
      </c>
    </row>
    <row r="46" spans="1:19" s="30" customFormat="1" x14ac:dyDescent="0.25">
      <c r="A46" s="30" t="s">
        <v>253</v>
      </c>
      <c r="B46" s="48" t="s">
        <v>205</v>
      </c>
      <c r="C46" s="48" t="s">
        <v>254</v>
      </c>
      <c r="D46" s="49">
        <f>'[1]Op Budget 2015'!Q44/12</f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8">
        <f t="shared" si="3"/>
        <v>0</v>
      </c>
      <c r="R46" s="29">
        <f>'[1]Op Budget 2015'!Q44</f>
        <v>0</v>
      </c>
      <c r="S46" s="27"/>
    </row>
    <row r="47" spans="1:19" x14ac:dyDescent="0.25">
      <c r="A47" s="18" t="s">
        <v>255</v>
      </c>
      <c r="B47" s="13" t="s">
        <v>205</v>
      </c>
      <c r="C47" s="13" t="s">
        <v>256</v>
      </c>
      <c r="D47" s="14">
        <v>100</v>
      </c>
      <c r="E47" s="15">
        <f>$D47*(1+[1]Assumptions!$B$3)</f>
        <v>101.49</v>
      </c>
      <c r="F47" s="15">
        <f>$D47*(1+[1]Assumptions!$B$3)</f>
        <v>101.49</v>
      </c>
      <c r="G47" s="15">
        <f>$D47*(1+[1]Assumptions!$B$3)</f>
        <v>101.49</v>
      </c>
      <c r="H47" s="15">
        <f>$D47*(1+[1]Assumptions!$B$3)</f>
        <v>101.49</v>
      </c>
      <c r="I47" s="15">
        <f>$D47*(1+[1]Assumptions!$B$3)</f>
        <v>101.49</v>
      </c>
      <c r="J47" s="15">
        <f>$D47*(1+[1]Assumptions!$B$3)</f>
        <v>101.49</v>
      </c>
      <c r="K47" s="15">
        <f>$D47*(1+[1]Assumptions!$B$3)</f>
        <v>101.49</v>
      </c>
      <c r="L47" s="15">
        <f>$D47*(1+[1]Assumptions!$B$3)</f>
        <v>101.49</v>
      </c>
      <c r="M47" s="15">
        <f>$D47*(1+[1]Assumptions!$B$3)</f>
        <v>101.49</v>
      </c>
      <c r="N47" s="15">
        <f>$D47*(1+[1]Assumptions!$B$3)</f>
        <v>101.49</v>
      </c>
      <c r="O47" s="15">
        <f>$D47*(1+[1]Assumptions!$B$3)</f>
        <v>101.49</v>
      </c>
      <c r="P47" s="15">
        <f>$D47*(1+[1]Assumptions!$B$3)</f>
        <v>101.49</v>
      </c>
      <c r="Q47" s="16">
        <f t="shared" si="3"/>
        <v>1217.8799999999999</v>
      </c>
      <c r="R47" s="17">
        <f>'[1]Op Budget 2015'!Q45</f>
        <v>1058.8900000000001</v>
      </c>
    </row>
    <row r="48" spans="1:19" s="30" customFormat="1" x14ac:dyDescent="0.25">
      <c r="A48" s="30" t="s">
        <v>257</v>
      </c>
      <c r="B48" s="48" t="s">
        <v>205</v>
      </c>
      <c r="C48" s="48" t="s">
        <v>97</v>
      </c>
      <c r="D48" s="49">
        <f>'[1]Op Budget 2015'!Q46/12</f>
        <v>16.2225</v>
      </c>
      <c r="E48" s="27">
        <v>0</v>
      </c>
      <c r="F48" s="27">
        <v>0</v>
      </c>
      <c r="G48" s="27">
        <v>103</v>
      </c>
      <c r="H48" s="27">
        <v>20</v>
      </c>
      <c r="I48" s="27">
        <v>0</v>
      </c>
      <c r="J48" s="27">
        <v>0</v>
      </c>
      <c r="K48" s="27">
        <v>117</v>
      </c>
      <c r="L48" s="27">
        <v>78</v>
      </c>
      <c r="M48" s="27">
        <v>0</v>
      </c>
      <c r="N48" s="27">
        <v>0</v>
      </c>
      <c r="O48" s="27">
        <v>0</v>
      </c>
      <c r="P48" s="27">
        <v>0</v>
      </c>
      <c r="Q48" s="28">
        <f t="shared" si="3"/>
        <v>318</v>
      </c>
      <c r="R48" s="29">
        <f>'[1]Op Budget 2015'!Q46</f>
        <v>194.67000000000002</v>
      </c>
      <c r="S48" s="27"/>
    </row>
    <row r="49" spans="1:19" x14ac:dyDescent="0.25">
      <c r="A49" s="18" t="s">
        <v>258</v>
      </c>
      <c r="B49" s="13" t="s">
        <v>205</v>
      </c>
      <c r="C49" s="13" t="s">
        <v>99</v>
      </c>
      <c r="D49" s="14">
        <v>80</v>
      </c>
      <c r="E49" s="15">
        <f>$D49*(1+[1]Assumptions!$B$3)</f>
        <v>81.191999999999993</v>
      </c>
      <c r="F49" s="15">
        <f>$D49*(1+[1]Assumptions!$B$3)</f>
        <v>81.191999999999993</v>
      </c>
      <c r="G49" s="15">
        <f>$D49*(1+[1]Assumptions!$B$3)</f>
        <v>81.191999999999993</v>
      </c>
      <c r="H49" s="15">
        <f>$D49*(1+[1]Assumptions!$B$3)</f>
        <v>81.191999999999993</v>
      </c>
      <c r="I49" s="15">
        <f>$D49*(1+[1]Assumptions!$B$3)</f>
        <v>81.191999999999993</v>
      </c>
      <c r="J49" s="15">
        <f>$D49*(1+[1]Assumptions!$B$3)</f>
        <v>81.191999999999993</v>
      </c>
      <c r="K49" s="15">
        <f>$D49*(1+[1]Assumptions!$B$3)</f>
        <v>81.191999999999993</v>
      </c>
      <c r="L49" s="15">
        <f>$D49*(1+[1]Assumptions!$B$3)</f>
        <v>81.191999999999993</v>
      </c>
      <c r="M49" s="15">
        <f>$D49*(1+[1]Assumptions!$B$3)</f>
        <v>81.191999999999993</v>
      </c>
      <c r="N49" s="15">
        <f>$D49*(1+[1]Assumptions!$B$3)</f>
        <v>81.191999999999993</v>
      </c>
      <c r="O49" s="15">
        <f>$D49*(1+[1]Assumptions!$B$3)</f>
        <v>81.191999999999993</v>
      </c>
      <c r="P49" s="15">
        <f>$D49*(1+[1]Assumptions!$B$3)</f>
        <v>81.191999999999993</v>
      </c>
      <c r="Q49" s="16">
        <f t="shared" si="3"/>
        <v>974.30399999999997</v>
      </c>
      <c r="R49" s="17">
        <f>'[1]Op Budget 2015'!Q47</f>
        <v>681.67000000000007</v>
      </c>
    </row>
    <row r="50" spans="1:19" s="30" customFormat="1" x14ac:dyDescent="0.25">
      <c r="A50" s="30" t="s">
        <v>259</v>
      </c>
      <c r="B50" s="48" t="s">
        <v>205</v>
      </c>
      <c r="C50" s="48" t="s">
        <v>260</v>
      </c>
      <c r="D50" s="49">
        <f>'[1]Op Budget 2015'!Q48/12</f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3500</v>
      </c>
      <c r="Q50" s="28">
        <f t="shared" si="3"/>
        <v>3500</v>
      </c>
      <c r="R50" s="29">
        <f>'[1]Op Budget 2015'!Q48</f>
        <v>0</v>
      </c>
      <c r="S50" s="27"/>
    </row>
    <row r="51" spans="1:19" x14ac:dyDescent="0.25">
      <c r="A51" s="18" t="s">
        <v>261</v>
      </c>
      <c r="B51" s="13" t="s">
        <v>205</v>
      </c>
      <c r="C51" s="13" t="s">
        <v>101</v>
      </c>
      <c r="D51" s="14">
        <v>50</v>
      </c>
      <c r="E51" s="15">
        <f>$D51</f>
        <v>50</v>
      </c>
      <c r="F51" s="15">
        <f t="shared" ref="F51:P51" si="7">$D51</f>
        <v>50</v>
      </c>
      <c r="G51" s="15">
        <f t="shared" si="7"/>
        <v>50</v>
      </c>
      <c r="H51" s="15">
        <f t="shared" si="7"/>
        <v>50</v>
      </c>
      <c r="I51" s="15">
        <f t="shared" si="7"/>
        <v>50</v>
      </c>
      <c r="J51" s="15">
        <f t="shared" si="7"/>
        <v>50</v>
      </c>
      <c r="K51" s="15">
        <f t="shared" si="7"/>
        <v>50</v>
      </c>
      <c r="L51" s="15">
        <f t="shared" si="7"/>
        <v>50</v>
      </c>
      <c r="M51" s="15">
        <f t="shared" si="7"/>
        <v>50</v>
      </c>
      <c r="N51" s="15">
        <f t="shared" si="7"/>
        <v>50</v>
      </c>
      <c r="O51" s="15">
        <f t="shared" si="7"/>
        <v>50</v>
      </c>
      <c r="P51" s="15">
        <f t="shared" si="7"/>
        <v>50</v>
      </c>
      <c r="Q51" s="16">
        <f t="shared" si="3"/>
        <v>600</v>
      </c>
      <c r="R51" s="17">
        <f>'[1]Op Budget 2015'!Q49</f>
        <v>251</v>
      </c>
    </row>
    <row r="52" spans="1:19" s="30" customFormat="1" x14ac:dyDescent="0.25">
      <c r="A52" s="30" t="s">
        <v>262</v>
      </c>
      <c r="B52" s="48" t="s">
        <v>205</v>
      </c>
      <c r="C52" s="48" t="s">
        <v>263</v>
      </c>
      <c r="D52" s="49">
        <f>'[1]Op Budget 2015'!Q50/12</f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8">
        <f t="shared" si="3"/>
        <v>0</v>
      </c>
      <c r="R52" s="29">
        <f>'[1]Op Budget 2015'!Q50</f>
        <v>0</v>
      </c>
      <c r="S52" s="27"/>
    </row>
    <row r="53" spans="1:19" x14ac:dyDescent="0.25">
      <c r="A53" s="18" t="s">
        <v>264</v>
      </c>
      <c r="B53" s="13" t="s">
        <v>205</v>
      </c>
      <c r="C53" s="13" t="s">
        <v>103</v>
      </c>
      <c r="D53" s="14">
        <v>15</v>
      </c>
      <c r="E53" s="15">
        <f>$D53</f>
        <v>15</v>
      </c>
      <c r="F53" s="15">
        <f t="shared" ref="F53:P53" si="8">$D53</f>
        <v>15</v>
      </c>
      <c r="G53" s="15">
        <f t="shared" si="8"/>
        <v>15</v>
      </c>
      <c r="H53" s="15">
        <f t="shared" si="8"/>
        <v>15</v>
      </c>
      <c r="I53" s="15">
        <f t="shared" si="8"/>
        <v>15</v>
      </c>
      <c r="J53" s="15">
        <f t="shared" si="8"/>
        <v>15</v>
      </c>
      <c r="K53" s="15">
        <f t="shared" si="8"/>
        <v>15</v>
      </c>
      <c r="L53" s="15">
        <f t="shared" si="8"/>
        <v>15</v>
      </c>
      <c r="M53" s="15">
        <f t="shared" si="8"/>
        <v>15</v>
      </c>
      <c r="N53" s="15">
        <f t="shared" si="8"/>
        <v>15</v>
      </c>
      <c r="O53" s="15">
        <f t="shared" si="8"/>
        <v>15</v>
      </c>
      <c r="P53" s="15">
        <f t="shared" si="8"/>
        <v>15</v>
      </c>
      <c r="Q53" s="16">
        <f t="shared" si="3"/>
        <v>180</v>
      </c>
      <c r="R53" s="17">
        <f>'[1]Op Budget 2015'!Q51</f>
        <v>98.06</v>
      </c>
    </row>
    <row r="54" spans="1:19" s="30" customFormat="1" x14ac:dyDescent="0.25">
      <c r="A54" s="30" t="s">
        <v>265</v>
      </c>
      <c r="B54" s="48" t="s">
        <v>205</v>
      </c>
      <c r="C54" s="48"/>
      <c r="D54" s="49">
        <f>'[1]Op Budget 2015'!Q52/12</f>
        <v>10.145000000000001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8">
        <f t="shared" si="3"/>
        <v>0</v>
      </c>
      <c r="R54" s="29">
        <f>'[1]Op Budget 2015'!Q52</f>
        <v>121.74000000000001</v>
      </c>
      <c r="S54" s="27"/>
    </row>
    <row r="56" spans="1:19" s="34" customFormat="1" x14ac:dyDescent="0.25">
      <c r="A56" s="34" t="s">
        <v>266</v>
      </c>
      <c r="B56" s="35"/>
      <c r="C56" s="35"/>
      <c r="D56" s="36"/>
      <c r="E56" s="50">
        <f t="shared" ref="E56:P56" si="9">SUM(E15:E55)</f>
        <v>29371.264800000001</v>
      </c>
      <c r="F56" s="50">
        <f t="shared" si="9"/>
        <v>4337.5147999999999</v>
      </c>
      <c r="G56" s="50">
        <f t="shared" si="9"/>
        <v>6540.5147999999999</v>
      </c>
      <c r="H56" s="50">
        <f t="shared" si="9"/>
        <v>30688.264800000001</v>
      </c>
      <c r="I56" s="50">
        <f t="shared" si="9"/>
        <v>9964.5825419354824</v>
      </c>
      <c r="J56" s="50">
        <f t="shared" si="9"/>
        <v>5928.1647999999996</v>
      </c>
      <c r="K56" s="50">
        <f t="shared" si="9"/>
        <v>27306.414799999999</v>
      </c>
      <c r="L56" s="50">
        <f t="shared" si="9"/>
        <v>7603.6647999999996</v>
      </c>
      <c r="M56" s="50">
        <f t="shared" si="9"/>
        <v>6069.0022999999992</v>
      </c>
      <c r="N56" s="50">
        <f t="shared" si="9"/>
        <v>27336.089800000002</v>
      </c>
      <c r="O56" s="50">
        <f t="shared" si="9"/>
        <v>8772.014799999999</v>
      </c>
      <c r="P56" s="50">
        <f t="shared" si="9"/>
        <v>9772.0148000000008</v>
      </c>
      <c r="Q56" s="38">
        <f>SUM(E56:P56)</f>
        <v>173689.5078419355</v>
      </c>
      <c r="R56" s="39">
        <f>SUM(R15:R55)</f>
        <v>206422.51</v>
      </c>
      <c r="S56" s="37"/>
    </row>
    <row r="58" spans="1:19" s="45" customFormat="1" x14ac:dyDescent="0.25">
      <c r="A58" s="45" t="s">
        <v>267</v>
      </c>
      <c r="B58" s="40"/>
      <c r="C58" s="40"/>
      <c r="D58" s="41"/>
      <c r="E58" s="42">
        <f>SUM(E15:E29)</f>
        <v>4441.6293000000005</v>
      </c>
      <c r="F58" s="42">
        <f t="shared" ref="F58:P58" si="10">SUM(F15:F29)</f>
        <v>3371.6293000000001</v>
      </c>
      <c r="G58" s="42">
        <f t="shared" si="10"/>
        <v>3371.6293000000001</v>
      </c>
      <c r="H58" s="42">
        <f t="shared" si="10"/>
        <v>6988.6293000000005</v>
      </c>
      <c r="I58" s="42">
        <f t="shared" si="10"/>
        <v>8448.6970419354839</v>
      </c>
      <c r="J58" s="42">
        <f t="shared" si="10"/>
        <v>3842.2793000000001</v>
      </c>
      <c r="K58" s="42">
        <f t="shared" si="10"/>
        <v>3909.7793000000001</v>
      </c>
      <c r="L58" s="42">
        <f t="shared" si="10"/>
        <v>6409.7793000000001</v>
      </c>
      <c r="M58" s="42">
        <f t="shared" si="10"/>
        <v>3983.1167999999998</v>
      </c>
      <c r="N58" s="42">
        <f t="shared" si="10"/>
        <v>4056.4543000000003</v>
      </c>
      <c r="O58" s="42">
        <f t="shared" si="10"/>
        <v>7656.1293000000005</v>
      </c>
      <c r="P58" s="42">
        <f t="shared" si="10"/>
        <v>5156.1293000000005</v>
      </c>
      <c r="Q58" s="43">
        <f>SUM(E58:P58)</f>
        <v>61635.881841935494</v>
      </c>
      <c r="R58" s="44">
        <f>'[1]Op Budget 2015'!Q56</f>
        <v>52312.03</v>
      </c>
      <c r="S58" s="42"/>
    </row>
    <row r="60" spans="1:19" s="45" customFormat="1" x14ac:dyDescent="0.25">
      <c r="A60" s="45" t="s">
        <v>268</v>
      </c>
      <c r="B60" s="40"/>
      <c r="C60" s="40"/>
      <c r="D60" s="41"/>
      <c r="E60" s="42">
        <f>('[1]Min Rent 2015'!$C$15*0.5)/12</f>
        <v>912.375</v>
      </c>
      <c r="F60" s="42">
        <f>('[1]Min Rent 2015'!$C$15*0.5)/12</f>
        <v>912.375</v>
      </c>
      <c r="G60" s="42">
        <f>('[1]Min Rent 2015'!$C$15*0.5)/12</f>
        <v>912.375</v>
      </c>
      <c r="H60" s="42">
        <f>('[1]Min Rent 2015'!$C$15*0.5)/12</f>
        <v>912.375</v>
      </c>
      <c r="I60" s="42">
        <f>('[1]Min Rent 2015'!$C$15*0.5)/12</f>
        <v>912.375</v>
      </c>
      <c r="J60" s="42">
        <f>('[1]Min Rent 2015'!$C$15*0.5)/12</f>
        <v>912.375</v>
      </c>
      <c r="K60" s="42">
        <f>('[1]Min Rent 2015'!$C$15*0.5)/12</f>
        <v>912.375</v>
      </c>
      <c r="L60" s="42">
        <f>('[1]Min Rent 2015'!$C$15*0.5)/12</f>
        <v>912.375</v>
      </c>
      <c r="M60" s="42">
        <f>('[1]Min Rent 2015'!$C$15*0.5)/12</f>
        <v>912.375</v>
      </c>
      <c r="N60" s="42">
        <f>('[1]Min Rent 2015'!$C$15*0.5)/12</f>
        <v>912.375</v>
      </c>
      <c r="O60" s="42">
        <f>('[1]Min Rent 2015'!$C$15*0.5)/12</f>
        <v>912.375</v>
      </c>
      <c r="P60" s="42">
        <f>('[1]Min Rent 2015'!$C$15*0.5)/12</f>
        <v>912.375</v>
      </c>
      <c r="Q60" s="43">
        <f>SUM(E60:P60)</f>
        <v>10948.5</v>
      </c>
      <c r="R60" s="44"/>
      <c r="S60" s="42"/>
    </row>
    <row r="62" spans="1:19" s="34" customFormat="1" x14ac:dyDescent="0.25">
      <c r="A62" s="34" t="s">
        <v>269</v>
      </c>
      <c r="B62" s="35"/>
      <c r="C62" s="35"/>
      <c r="D62" s="36"/>
      <c r="E62" s="37">
        <f>E10-E56-E60</f>
        <v>3783.3601999999992</v>
      </c>
      <c r="F62" s="37">
        <f t="shared" ref="F62:P62" si="11">F10-F56-F60</f>
        <v>28817.110199999999</v>
      </c>
      <c r="G62" s="37">
        <f t="shared" si="11"/>
        <v>26614.110199999999</v>
      </c>
      <c r="H62" s="37">
        <f t="shared" si="11"/>
        <v>2466.3601999999992</v>
      </c>
      <c r="I62" s="37">
        <f t="shared" si="11"/>
        <v>24731.397296774201</v>
      </c>
      <c r="J62" s="37">
        <f t="shared" si="11"/>
        <v>30639.460200000001</v>
      </c>
      <c r="K62" s="37">
        <f t="shared" si="11"/>
        <v>10611.210200000001</v>
      </c>
      <c r="L62" s="37">
        <f t="shared" si="11"/>
        <v>30313.960200000001</v>
      </c>
      <c r="M62" s="37">
        <f t="shared" si="11"/>
        <v>33315.3727</v>
      </c>
      <c r="N62" s="37">
        <f t="shared" si="11"/>
        <v>13515.035199999998</v>
      </c>
      <c r="O62" s="37">
        <f t="shared" si="11"/>
        <v>35012.610200000003</v>
      </c>
      <c r="P62" s="37">
        <f t="shared" si="11"/>
        <v>34012.610199999996</v>
      </c>
      <c r="Q62" s="38">
        <f>SUM(E62:P62)</f>
        <v>273832.5969967742</v>
      </c>
      <c r="R62" s="39"/>
      <c r="S62" s="37"/>
    </row>
    <row r="64" spans="1:19" s="45" customFormat="1" x14ac:dyDescent="0.25">
      <c r="A64" s="45" t="s">
        <v>270</v>
      </c>
      <c r="B64" s="40" t="s">
        <v>205</v>
      </c>
      <c r="C64" s="40" t="s">
        <v>271</v>
      </c>
      <c r="D64" s="41"/>
      <c r="E64" s="42">
        <v>0</v>
      </c>
      <c r="F64" s="42">
        <v>0</v>
      </c>
      <c r="G64" s="42">
        <v>0</v>
      </c>
      <c r="H64" s="42">
        <f>[1]Assumptions!$I3</f>
        <v>5763.2800000000007</v>
      </c>
      <c r="I64" s="42">
        <f>[1]Assumptions!$I4</f>
        <v>5782.49</v>
      </c>
      <c r="J64" s="42">
        <f>[1]Assumptions!$I5</f>
        <v>5801.76</v>
      </c>
      <c r="K64" s="42">
        <f>[1]Assumptions!$I6</f>
        <v>5821.1</v>
      </c>
      <c r="L64" s="42">
        <f>[1]Assumptions!$I7</f>
        <v>5840.51</v>
      </c>
      <c r="M64" s="42">
        <f>[1]Assumptions!$I8</f>
        <v>5859.9700000000012</v>
      </c>
      <c r="N64" s="42">
        <f>[1]Assumptions!$I9</f>
        <v>5879.51</v>
      </c>
      <c r="O64" s="42">
        <f>[1]Assumptions!$I10</f>
        <v>5899.1100000000006</v>
      </c>
      <c r="P64" s="42">
        <f>[1]Assumptions!$I11</f>
        <v>5918.77</v>
      </c>
      <c r="Q64" s="43">
        <f>SUM(E64:P64)</f>
        <v>52566.5</v>
      </c>
      <c r="R64" s="44"/>
      <c r="S64" s="42"/>
    </row>
    <row r="65" spans="1:19" s="45" customFormat="1" x14ac:dyDescent="0.25">
      <c r="A65" s="45" t="s">
        <v>272</v>
      </c>
      <c r="B65" s="40" t="s">
        <v>205</v>
      </c>
      <c r="C65" s="40" t="s">
        <v>109</v>
      </c>
      <c r="D65" s="41"/>
      <c r="E65" s="42">
        <f>[1]Assumptions!$B$11</f>
        <v>13333.333333333334</v>
      </c>
      <c r="F65" s="42">
        <f>[1]Assumptions!$B$11</f>
        <v>13333.333333333334</v>
      </c>
      <c r="G65" s="42">
        <f>[1]Assumptions!$B$11</f>
        <v>13333.333333333334</v>
      </c>
      <c r="H65" s="42">
        <f>[1]Assumptions!$J3</f>
        <v>13333.33</v>
      </c>
      <c r="I65" s="42">
        <f>[1]Assumptions!$J4</f>
        <v>13314.12</v>
      </c>
      <c r="J65" s="42">
        <f>[1]Assumptions!$J5</f>
        <v>13294.85</v>
      </c>
      <c r="K65" s="42">
        <f>[1]Assumptions!$J6</f>
        <v>13275.51</v>
      </c>
      <c r="L65" s="42">
        <f>[1]Assumptions!$J7</f>
        <v>13256.1</v>
      </c>
      <c r="M65" s="42">
        <f>[1]Assumptions!$J8</f>
        <v>13236.64</v>
      </c>
      <c r="N65" s="42">
        <f>[1]Assumptions!$J9</f>
        <v>13217.1</v>
      </c>
      <c r="O65" s="42">
        <f>[1]Assumptions!$J10</f>
        <v>13197.5</v>
      </c>
      <c r="P65" s="42">
        <f>[1]Assumptions!$J11</f>
        <v>13177.84</v>
      </c>
      <c r="Q65" s="43">
        <f>SUM(E65:P65)</f>
        <v>159302.99</v>
      </c>
      <c r="R65" s="44"/>
      <c r="S65" s="42"/>
    </row>
    <row r="67" spans="1:19" s="34" customFormat="1" x14ac:dyDescent="0.25">
      <c r="A67" s="34" t="s">
        <v>273</v>
      </c>
      <c r="B67" s="35"/>
      <c r="C67" s="35"/>
      <c r="D67" s="36"/>
      <c r="E67" s="37">
        <f>E62-(E64+E65)</f>
        <v>-9549.9731333333348</v>
      </c>
      <c r="F67" s="37">
        <f t="shared" ref="F67:P67" si="12">F62-(F64+F65)</f>
        <v>15483.776866666665</v>
      </c>
      <c r="G67" s="37">
        <f t="shared" si="12"/>
        <v>13280.776866666665</v>
      </c>
      <c r="H67" s="37">
        <f t="shared" si="12"/>
        <v>-16630.249800000001</v>
      </c>
      <c r="I67" s="37">
        <f t="shared" si="12"/>
        <v>5634.7872967742005</v>
      </c>
      <c r="J67" s="37">
        <f t="shared" si="12"/>
        <v>11542.850200000001</v>
      </c>
      <c r="K67" s="37">
        <f t="shared" si="12"/>
        <v>-8485.3997999999992</v>
      </c>
      <c r="L67" s="37">
        <f t="shared" si="12"/>
        <v>11217.350200000001</v>
      </c>
      <c r="M67" s="37">
        <f t="shared" si="12"/>
        <v>14218.762699999999</v>
      </c>
      <c r="N67" s="37">
        <f t="shared" si="12"/>
        <v>-5581.5748000000021</v>
      </c>
      <c r="O67" s="37">
        <f t="shared" si="12"/>
        <v>15916.000200000002</v>
      </c>
      <c r="P67" s="37">
        <f t="shared" si="12"/>
        <v>14916.000199999995</v>
      </c>
      <c r="Q67" s="38">
        <f>SUM(E67:P67)</f>
        <v>61963.106996774186</v>
      </c>
      <c r="R67" s="39"/>
      <c r="S67" s="37"/>
    </row>
    <row r="69" spans="1:19" s="45" customFormat="1" x14ac:dyDescent="0.25">
      <c r="A69" s="45" t="s">
        <v>274</v>
      </c>
      <c r="B69" s="40"/>
      <c r="C69" s="40"/>
      <c r="D69" s="41"/>
      <c r="E69" s="42">
        <f>'[1]Broker''s Comm'!K14</f>
        <v>9137</v>
      </c>
      <c r="F69" s="42">
        <f>'[1]Broker''s Comm'!L14</f>
        <v>0</v>
      </c>
      <c r="G69" s="42">
        <f>'[1]Broker''s Comm'!M14</f>
        <v>0</v>
      </c>
      <c r="H69" s="42">
        <f>'[1]Broker''s Comm'!N14</f>
        <v>15419</v>
      </c>
      <c r="I69" s="42">
        <f>'[1]Broker''s Comm'!O14</f>
        <v>4204.8355000000001</v>
      </c>
      <c r="J69" s="42">
        <f>'[1]Broker''s Comm'!P14</f>
        <v>1773.9150025162505</v>
      </c>
      <c r="K69" s="42">
        <f>'[1]Broker''s Comm'!Q14</f>
        <v>15419</v>
      </c>
      <c r="L69" s="42">
        <f>'[1]Broker''s Comm'!R14</f>
        <v>0</v>
      </c>
      <c r="M69" s="42">
        <f>'[1]Broker''s Comm'!S14</f>
        <v>0</v>
      </c>
      <c r="N69" s="42">
        <f>'[1]Broker''s Comm'!T14</f>
        <v>1773.9150025162505</v>
      </c>
      <c r="O69" s="42">
        <f>'[1]Broker''s Comm'!U14</f>
        <v>4204.8355000000001</v>
      </c>
      <c r="P69" s="42">
        <f>'[1]Broker''s Comm'!V14</f>
        <v>3547.830005032501</v>
      </c>
      <c r="Q69" s="43">
        <f>SUM(E69:P69)</f>
        <v>55480.331010065005</v>
      </c>
      <c r="R69" s="44"/>
      <c r="S69" s="42"/>
    </row>
    <row r="71" spans="1:19" s="45" customFormat="1" x14ac:dyDescent="0.25">
      <c r="A71" s="45" t="s">
        <v>275</v>
      </c>
      <c r="B71" s="40" t="s">
        <v>205</v>
      </c>
      <c r="C71" s="40" t="s">
        <v>132</v>
      </c>
      <c r="D71" s="41"/>
      <c r="E71" s="42">
        <v>0</v>
      </c>
      <c r="F71" s="42">
        <v>0</v>
      </c>
      <c r="G71" s="42">
        <v>0</v>
      </c>
      <c r="H71" s="42">
        <v>48000</v>
      </c>
      <c r="I71" s="42">
        <f>[1]Assumptions!P10+[1]Assumptions!P19+[1]Assumptions!P28</f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3">
        <f>SUM(E71:P71)</f>
        <v>48000</v>
      </c>
      <c r="R71" s="44"/>
      <c r="S71" s="42"/>
    </row>
    <row r="73" spans="1:19" s="45" customFormat="1" x14ac:dyDescent="0.25">
      <c r="A73" s="45" t="s">
        <v>276</v>
      </c>
      <c r="B73" s="40" t="s">
        <v>205</v>
      </c>
      <c r="C73" s="40" t="s">
        <v>277</v>
      </c>
      <c r="D73" s="41"/>
      <c r="E73" s="42">
        <v>0</v>
      </c>
      <c r="F73" s="42">
        <v>0</v>
      </c>
      <c r="G73" s="42">
        <v>0</v>
      </c>
      <c r="H73" s="42">
        <f>[1]Assumptions!P11+[1]Assumptions!P20+[1]Assumptions!P29+[1]Assumptions!P34</f>
        <v>74029</v>
      </c>
      <c r="I73" s="42">
        <f>[1]Assumptions!P12+[1]Assumptions!P21+[1]Assumptions!P30</f>
        <v>39029</v>
      </c>
      <c r="J73" s="42">
        <f>[1]Assumptions!P31</f>
        <v>10681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3">
        <f>SUM(E73:P73)</f>
        <v>123739</v>
      </c>
      <c r="R73" s="44"/>
      <c r="S73" s="42"/>
    </row>
    <row r="75" spans="1:19" s="45" customFormat="1" x14ac:dyDescent="0.25">
      <c r="A75" s="45" t="s">
        <v>278</v>
      </c>
      <c r="B75" s="40"/>
      <c r="C75" s="40"/>
      <c r="D75" s="41"/>
      <c r="E75" s="42">
        <f>[1]Assumptions!$B$5/12</f>
        <v>0</v>
      </c>
      <c r="F75" s="42">
        <f>[1]Assumptions!$B$5/12</f>
        <v>0</v>
      </c>
      <c r="G75" s="42">
        <f>[1]Assumptions!$B$5/12</f>
        <v>0</v>
      </c>
      <c r="H75" s="42">
        <f>[1]Assumptions!$B$5/12</f>
        <v>0</v>
      </c>
      <c r="I75" s="42">
        <f>[1]Assumptions!$B$5/12</f>
        <v>0</v>
      </c>
      <c r="J75" s="42">
        <f>[1]Assumptions!$B$5/12</f>
        <v>0</v>
      </c>
      <c r="K75" s="42">
        <f>[1]Assumptions!$B$5/12</f>
        <v>0</v>
      </c>
      <c r="L75" s="42">
        <f>[1]Assumptions!$B$5/12</f>
        <v>0</v>
      </c>
      <c r="M75" s="42">
        <f>[1]Assumptions!$B$5/12</f>
        <v>0</v>
      </c>
      <c r="N75" s="42">
        <f>[1]Assumptions!$B$5/12</f>
        <v>0</v>
      </c>
      <c r="O75" s="42">
        <f>[1]Assumptions!$B$5/12</f>
        <v>0</v>
      </c>
      <c r="P75" s="42">
        <f>[1]Assumptions!$B$5/12</f>
        <v>0</v>
      </c>
      <c r="Q75" s="43">
        <f>SUM(E75:P75)</f>
        <v>0</v>
      </c>
      <c r="R75" s="44"/>
      <c r="S75" s="42"/>
    </row>
    <row r="76" spans="1:19" s="34" customFormat="1" x14ac:dyDescent="0.25">
      <c r="A76" s="34" t="s">
        <v>279</v>
      </c>
      <c r="B76" s="35"/>
      <c r="C76" s="35"/>
      <c r="D76" s="36"/>
      <c r="E76" s="37">
        <f>E67-(E75+E69+E71+E73)</f>
        <v>-18686.973133333333</v>
      </c>
      <c r="F76" s="37">
        <f t="shared" ref="F76:P76" si="13">F67-(F75+F69+F71+F73)</f>
        <v>15483.776866666665</v>
      </c>
      <c r="G76" s="37">
        <f t="shared" si="13"/>
        <v>13280.776866666665</v>
      </c>
      <c r="H76" s="37">
        <f t="shared" si="13"/>
        <v>-154078.24979999999</v>
      </c>
      <c r="I76" s="37">
        <f t="shared" si="13"/>
        <v>-37599.048203225801</v>
      </c>
      <c r="J76" s="37">
        <f t="shared" si="13"/>
        <v>-912.06480251624998</v>
      </c>
      <c r="K76" s="37">
        <f t="shared" si="13"/>
        <v>-23904.399799999999</v>
      </c>
      <c r="L76" s="37">
        <f t="shared" si="13"/>
        <v>11217.350200000001</v>
      </c>
      <c r="M76" s="37">
        <f t="shared" si="13"/>
        <v>14218.762699999999</v>
      </c>
      <c r="N76" s="37">
        <f t="shared" si="13"/>
        <v>-7355.4898025162529</v>
      </c>
      <c r="O76" s="37">
        <f t="shared" si="13"/>
        <v>11711.164700000001</v>
      </c>
      <c r="P76" s="37">
        <f t="shared" si="13"/>
        <v>11368.170194967493</v>
      </c>
      <c r="Q76" s="38">
        <f>SUM(E76:P76)</f>
        <v>-165256.2240132908</v>
      </c>
      <c r="R76" s="39"/>
      <c r="S76" s="37"/>
    </row>
    <row r="78" spans="1:19" s="45" customFormat="1" x14ac:dyDescent="0.25">
      <c r="A78" s="45" t="s">
        <v>280</v>
      </c>
      <c r="B78" s="40"/>
      <c r="C78" s="40"/>
      <c r="D78" s="41">
        <v>6972.42</v>
      </c>
      <c r="E78" s="42">
        <f>$D78</f>
        <v>6972.42</v>
      </c>
      <c r="F78" s="42">
        <f t="shared" ref="F78:P78" si="14">$D78</f>
        <v>6972.42</v>
      </c>
      <c r="G78" s="42">
        <f t="shared" si="14"/>
        <v>6972.42</v>
      </c>
      <c r="H78" s="42">
        <f t="shared" si="14"/>
        <v>6972.42</v>
      </c>
      <c r="I78" s="42">
        <f t="shared" si="14"/>
        <v>6972.42</v>
      </c>
      <c r="J78" s="42">
        <f t="shared" si="14"/>
        <v>6972.42</v>
      </c>
      <c r="K78" s="42">
        <f t="shared" si="14"/>
        <v>6972.42</v>
      </c>
      <c r="L78" s="42">
        <f t="shared" si="14"/>
        <v>6972.42</v>
      </c>
      <c r="M78" s="42">
        <f t="shared" si="14"/>
        <v>6972.42</v>
      </c>
      <c r="N78" s="42">
        <f t="shared" si="14"/>
        <v>6972.42</v>
      </c>
      <c r="O78" s="42">
        <f t="shared" si="14"/>
        <v>6972.42</v>
      </c>
      <c r="P78" s="42">
        <f t="shared" si="14"/>
        <v>6972.42</v>
      </c>
      <c r="Q78" s="43">
        <f>SUM(E78:P78)</f>
        <v>83669.039999999994</v>
      </c>
      <c r="R78" s="44"/>
      <c r="S78" s="42"/>
    </row>
    <row r="80" spans="1:19" s="34" customFormat="1" x14ac:dyDescent="0.25">
      <c r="A80" s="34" t="s">
        <v>281</v>
      </c>
      <c r="B80" s="35"/>
      <c r="C80" s="35"/>
      <c r="D80" s="36"/>
      <c r="E80" s="37">
        <f>'[1]Op Budget 2015'!P73</f>
        <v>84180.56</v>
      </c>
      <c r="F80" s="37">
        <f>E81</f>
        <v>89347.83</v>
      </c>
      <c r="G80" s="37">
        <f t="shared" ref="G80:P80" si="15">F81</f>
        <v>97998.720000000001</v>
      </c>
      <c r="H80" s="37">
        <f t="shared" si="15"/>
        <v>404307.07686666673</v>
      </c>
      <c r="I80" s="37">
        <f t="shared" si="15"/>
        <v>265420.15706666675</v>
      </c>
      <c r="J80" s="37">
        <f t="shared" si="15"/>
        <v>220848.68886344094</v>
      </c>
      <c r="K80" s="37">
        <f t="shared" si="15"/>
        <v>212964.20406092468</v>
      </c>
      <c r="L80" s="37">
        <f t="shared" si="15"/>
        <v>204251.13426092468</v>
      </c>
      <c r="M80" s="37">
        <f t="shared" si="15"/>
        <v>208496.06446092468</v>
      </c>
      <c r="N80" s="37">
        <f t="shared" si="15"/>
        <v>215742.40716092466</v>
      </c>
      <c r="O80" s="37">
        <f t="shared" si="15"/>
        <v>223578.24735840841</v>
      </c>
      <c r="P80" s="37">
        <f t="shared" si="15"/>
        <v>228316.99205840839</v>
      </c>
      <c r="Q80" s="38"/>
      <c r="R80" s="39"/>
      <c r="S80" s="37"/>
    </row>
    <row r="81" spans="1:19" s="34" customFormat="1" x14ac:dyDescent="0.25">
      <c r="A81" s="34" t="s">
        <v>282</v>
      </c>
      <c r="B81" s="35"/>
      <c r="C81" s="35"/>
      <c r="D81" s="36"/>
      <c r="E81" s="37">
        <v>89347.83</v>
      </c>
      <c r="F81" s="37">
        <v>97998.720000000001</v>
      </c>
      <c r="G81" s="37">
        <f>G12+G76+G80+G34-G78</f>
        <v>404307.07686666673</v>
      </c>
      <c r="H81" s="37">
        <f t="shared" ref="H81:P81" si="16">H76+H80+H34-H78</f>
        <v>265420.15706666675</v>
      </c>
      <c r="I81" s="37">
        <f t="shared" si="16"/>
        <v>220848.68886344094</v>
      </c>
      <c r="J81" s="37">
        <f t="shared" si="16"/>
        <v>212964.20406092468</v>
      </c>
      <c r="K81" s="37">
        <f t="shared" si="16"/>
        <v>204251.13426092468</v>
      </c>
      <c r="L81" s="37">
        <f t="shared" si="16"/>
        <v>208496.06446092468</v>
      </c>
      <c r="M81" s="37">
        <f t="shared" si="16"/>
        <v>215742.40716092466</v>
      </c>
      <c r="N81" s="37">
        <f t="shared" si="16"/>
        <v>223578.24735840841</v>
      </c>
      <c r="O81" s="37">
        <f t="shared" si="16"/>
        <v>228316.99205840839</v>
      </c>
      <c r="P81" s="37">
        <f t="shared" si="16"/>
        <v>232712.74225337588</v>
      </c>
      <c r="Q81" s="38"/>
      <c r="R81" s="39"/>
      <c r="S81" s="37"/>
    </row>
    <row r="83" spans="1:19" ht="15.75" x14ac:dyDescent="0.25">
      <c r="E83" s="51" t="s">
        <v>283</v>
      </c>
      <c r="O83" s="52" t="s">
        <v>284</v>
      </c>
      <c r="P83" s="15">
        <v>90000</v>
      </c>
    </row>
    <row r="84" spans="1:19" x14ac:dyDescent="0.25">
      <c r="P84" s="53"/>
    </row>
    <row r="85" spans="1:19" x14ac:dyDescent="0.25">
      <c r="O85" s="52" t="s">
        <v>285</v>
      </c>
      <c r="P85" s="15">
        <f>P81-P83</f>
        <v>142712.74225337588</v>
      </c>
    </row>
  </sheetData>
  <pageMargins left="0.7" right="0.7" top="0.75" bottom="0.75" header="0.3" footer="0.3"/>
  <pageSetup paperSize="5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E210"/>
  <sheetViews>
    <sheetView tabSelected="1" zoomScaleNormal="100" zoomScaleSheetLayoutView="70" workbookViewId="0">
      <pane ySplit="5" topLeftCell="A72" activePane="bottomLeft" state="frozen"/>
      <selection pane="bottomLeft" activeCell="G103" sqref="G103"/>
    </sheetView>
  </sheetViews>
  <sheetFormatPr defaultRowHeight="15" outlineLevelRow="1" outlineLevelCol="1" x14ac:dyDescent="0.25"/>
  <cols>
    <col min="1" max="1" width="11.42578125" customWidth="1"/>
    <col min="2" max="2" width="37.140625" customWidth="1"/>
    <col min="3" max="3" width="17.140625" style="111" customWidth="1"/>
    <col min="4" max="15" width="13.7109375" style="110" customWidth="1" outlineLevel="1"/>
    <col min="16" max="16" width="17.140625" style="111" customWidth="1"/>
    <col min="17" max="17" width="17.140625" style="111" customWidth="1" collapsed="1"/>
    <col min="18" max="18" width="11.7109375" style="155" customWidth="1"/>
    <col min="19" max="19" width="63.7109375" customWidth="1"/>
    <col min="20" max="20" width="10.5703125" bestFit="1" customWidth="1"/>
    <col min="21" max="21" width="20.42578125" bestFit="1" customWidth="1"/>
    <col min="22" max="22" width="10.5703125" bestFit="1" customWidth="1"/>
    <col min="23" max="23" width="21.140625" bestFit="1" customWidth="1"/>
    <col min="24" max="28" width="10.5703125" bestFit="1" customWidth="1"/>
  </cols>
  <sheetData>
    <row r="1" spans="1:19" ht="19.5" x14ac:dyDescent="0.25">
      <c r="A1" s="178" t="s">
        <v>490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49"/>
    </row>
    <row r="2" spans="1:19" ht="15.75" x14ac:dyDescent="0.25">
      <c r="A2" s="179" t="s">
        <v>377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50"/>
    </row>
    <row r="3" spans="1:19" x14ac:dyDescent="0.25">
      <c r="A3" s="96"/>
      <c r="B3" s="96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54"/>
    </row>
    <row r="4" spans="1:19" x14ac:dyDescent="0.25">
      <c r="A4" s="96"/>
      <c r="B4" s="96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54"/>
    </row>
    <row r="5" spans="1:19" s="11" customFormat="1" ht="21.75" thickBot="1" x14ac:dyDescent="0.3">
      <c r="A5" s="10"/>
      <c r="B5" s="10"/>
      <c r="C5" s="102" t="s">
        <v>286</v>
      </c>
      <c r="D5" s="114">
        <v>42736</v>
      </c>
      <c r="E5" s="114">
        <v>42767</v>
      </c>
      <c r="F5" s="114">
        <v>42795</v>
      </c>
      <c r="G5" s="114">
        <v>42826</v>
      </c>
      <c r="H5" s="114">
        <v>42856</v>
      </c>
      <c r="I5" s="114">
        <v>42887</v>
      </c>
      <c r="J5" s="114">
        <v>42917</v>
      </c>
      <c r="K5" s="114">
        <v>42948</v>
      </c>
      <c r="L5" s="114">
        <v>42979</v>
      </c>
      <c r="M5" s="114">
        <v>43009</v>
      </c>
      <c r="N5" s="114">
        <v>43040</v>
      </c>
      <c r="O5" s="114">
        <v>43070</v>
      </c>
      <c r="P5" s="102" t="s">
        <v>407</v>
      </c>
      <c r="Q5" s="102" t="s">
        <v>0</v>
      </c>
      <c r="R5" s="151" t="s">
        <v>482</v>
      </c>
      <c r="S5" s="102" t="s">
        <v>203</v>
      </c>
    </row>
    <row r="6" spans="1:19" x14ac:dyDescent="0.25">
      <c r="A6" s="1"/>
      <c r="B6" s="5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52"/>
    </row>
    <row r="7" spans="1:19" x14ac:dyDescent="0.25">
      <c r="A7" s="1" t="s">
        <v>1</v>
      </c>
      <c r="B7" s="5" t="s">
        <v>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152"/>
    </row>
    <row r="8" spans="1:19" x14ac:dyDescent="0.25">
      <c r="A8" s="1"/>
      <c r="B8" s="5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52"/>
    </row>
    <row r="9" spans="1:19" x14ac:dyDescent="0.25">
      <c r="A9" s="1" t="s">
        <v>3</v>
      </c>
      <c r="B9" s="5" t="s">
        <v>4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152"/>
    </row>
    <row r="10" spans="1:19" x14ac:dyDescent="0.25">
      <c r="A10" s="1" t="s">
        <v>5</v>
      </c>
      <c r="B10" s="5" t="s">
        <v>6</v>
      </c>
      <c r="C10" s="104">
        <f>SUM(C11:C18)</f>
        <v>636369</v>
      </c>
      <c r="D10" s="104">
        <f>SUM(D11:D18)</f>
        <v>52446.359999999993</v>
      </c>
      <c r="E10" s="104">
        <f>SUM(E11:E18)</f>
        <v>52446.359999999993</v>
      </c>
      <c r="F10" s="104">
        <f>SUM(F11:F18)</f>
        <v>53866.429999999993</v>
      </c>
      <c r="G10" s="104">
        <f>SUM(G11:G18)</f>
        <v>53866.429999999993</v>
      </c>
      <c r="H10" s="104">
        <f>SUM(H11:H18)</f>
        <v>53866.429999999993</v>
      </c>
      <c r="I10" s="104">
        <f>SUM(I11:I18)</f>
        <v>53866.429999999993</v>
      </c>
      <c r="J10" s="104">
        <f>SUM(J11:J18)</f>
        <v>53866.429999999993</v>
      </c>
      <c r="K10" s="104">
        <f>SUM(K11:K18)</f>
        <v>53866.429999999993</v>
      </c>
      <c r="L10" s="104">
        <f>SUM(L11:L18)</f>
        <v>53866.429999999993</v>
      </c>
      <c r="M10" s="104">
        <f>SUM(M11:M18)</f>
        <v>53866.429999999993</v>
      </c>
      <c r="N10" s="104">
        <f>SUM(N11:N18)</f>
        <v>53866.429999999993</v>
      </c>
      <c r="O10" s="104">
        <f>SUM(O11:O18)</f>
        <v>53866.429999999993</v>
      </c>
      <c r="P10" s="104">
        <f>SUM(P11:P18)</f>
        <v>643557.02</v>
      </c>
      <c r="Q10" s="104">
        <f>IF(C10&lt;&gt;"",P10-C10,"")</f>
        <v>7188.0200000000186</v>
      </c>
      <c r="R10" s="153">
        <f>IF(C10&lt;&gt;0,Q10/C10,"")</f>
        <v>1.1295364796211033E-2</v>
      </c>
    </row>
    <row r="11" spans="1:19" outlineLevel="1" x14ac:dyDescent="0.25">
      <c r="A11" s="1"/>
      <c r="B11" s="31" t="s">
        <v>491</v>
      </c>
      <c r="C11" s="98">
        <v>283319</v>
      </c>
      <c r="D11" s="144">
        <f>VLOOKUP($B11,'Min Rent 2017'!$A$5:$P$12,5,FALSE)</f>
        <v>23609.919999999998</v>
      </c>
      <c r="E11" s="144">
        <f>VLOOKUP($B11,'Min Rent 2017'!$A$5:$P$12,6,FALSE)</f>
        <v>23609.919999999998</v>
      </c>
      <c r="F11" s="171">
        <f>VLOOKUP($B11,'Min Rent 2017'!$A$5:$P$12,7,FALSE)</f>
        <v>25029.99</v>
      </c>
      <c r="G11" s="144">
        <f>VLOOKUP($B11,'Min Rent 2017'!$A$5:$P$12,8,FALSE)</f>
        <v>25029.99</v>
      </c>
      <c r="H11" s="144">
        <f>VLOOKUP($B11,'Min Rent 2017'!$A$5:$P$12,9,FALSE)</f>
        <v>25029.99</v>
      </c>
      <c r="I11" s="144">
        <f>VLOOKUP($B11,'Min Rent 2017'!$A$5:$P$12,10,FALSE)</f>
        <v>25029.99</v>
      </c>
      <c r="J11" s="144">
        <f>VLOOKUP($B11,'Min Rent 2017'!$A$5:$P$12,11,FALSE)</f>
        <v>25029.99</v>
      </c>
      <c r="K11" s="144">
        <f>VLOOKUP($B11,'Min Rent 2017'!$A$5:$P$12,12,FALSE)</f>
        <v>25029.99</v>
      </c>
      <c r="L11" s="144">
        <f>VLOOKUP($B11,'Min Rent 2017'!$A$5:$P$12,13,FALSE)</f>
        <v>25029.99</v>
      </c>
      <c r="M11" s="144">
        <f>VLOOKUP($B11,'Min Rent 2017'!$A$5:$P$12,14,FALSE)</f>
        <v>25029.99</v>
      </c>
      <c r="N11" s="144">
        <f>VLOOKUP($B11,'Min Rent 2017'!$A$5:$P$12,15,FALSE)</f>
        <v>25029.99</v>
      </c>
      <c r="O11" s="98">
        <f>VLOOKUP($B11,'Min Rent 2017'!$A$5:$P$12,16,FALSE)</f>
        <v>25029.99</v>
      </c>
      <c r="P11" s="98">
        <f t="shared" ref="P11:P18" si="0">SUM(D11:O11)</f>
        <v>297519.74</v>
      </c>
      <c r="Q11" s="98">
        <f t="shared" ref="Q11:Q55" si="1">IF(C11&lt;&gt;"",P11-C11,"")</f>
        <v>14200.739999999991</v>
      </c>
      <c r="R11" s="153">
        <f t="shared" ref="R11:R55" si="2">IF(C11&lt;&gt;0,Q11/C11,"")</f>
        <v>5.0122794447248473E-2</v>
      </c>
    </row>
    <row r="12" spans="1:19" outlineLevel="1" x14ac:dyDescent="0.25">
      <c r="A12" s="1"/>
      <c r="B12" s="31" t="s">
        <v>492</v>
      </c>
      <c r="C12" s="98">
        <v>32500</v>
      </c>
      <c r="D12" s="144">
        <f>VLOOKUP($B12,'Min Rent 2017'!$A$5:$P$12,5,FALSE)</f>
        <v>2708.33</v>
      </c>
      <c r="E12" s="144">
        <f>VLOOKUP($B12,'Min Rent 2017'!$A$5:$P$12,6,FALSE)</f>
        <v>2708.33</v>
      </c>
      <c r="F12" s="144">
        <f>VLOOKUP($B12,'Min Rent 2017'!$A$5:$P$12,7,FALSE)</f>
        <v>2708.33</v>
      </c>
      <c r="G12" s="144">
        <f>VLOOKUP($B12,'Min Rent 2017'!$A$5:$P$12,8,FALSE)</f>
        <v>2708.33</v>
      </c>
      <c r="H12" s="144">
        <f>VLOOKUP($B12,'Min Rent 2017'!$A$5:$P$12,9,FALSE)</f>
        <v>2708.33</v>
      </c>
      <c r="I12" s="144">
        <f>VLOOKUP($B12,'Min Rent 2017'!$A$5:$P$12,10,FALSE)</f>
        <v>2708.33</v>
      </c>
      <c r="J12" s="144">
        <f>VLOOKUP($B12,'Min Rent 2017'!$A$5:$P$12,11,FALSE)</f>
        <v>2708.33</v>
      </c>
      <c r="K12" s="144">
        <f>VLOOKUP($B12,'Min Rent 2017'!$A$5:$P$12,12,FALSE)</f>
        <v>2708.33</v>
      </c>
      <c r="L12" s="144">
        <f>VLOOKUP($B12,'Min Rent 2017'!$A$5:$P$12,13,FALSE)</f>
        <v>2708.33</v>
      </c>
      <c r="M12" s="144">
        <f>VLOOKUP($B12,'Min Rent 2017'!$A$5:$P$12,14,FALSE)</f>
        <v>2708.33</v>
      </c>
      <c r="N12" s="144">
        <f>VLOOKUP($B12,'Min Rent 2017'!$A$5:$P$12,15,FALSE)</f>
        <v>2708.33</v>
      </c>
      <c r="O12" s="98">
        <f>VLOOKUP($B12,'Min Rent 2017'!$A$5:$P$12,16,FALSE)</f>
        <v>2708.33</v>
      </c>
      <c r="P12" s="98">
        <f t="shared" si="0"/>
        <v>32499.960000000006</v>
      </c>
      <c r="Q12" s="98">
        <f t="shared" si="1"/>
        <v>-3.9999999993597157E-2</v>
      </c>
      <c r="R12" s="153">
        <f t="shared" si="2"/>
        <v>-1.2307692305722202E-6</v>
      </c>
    </row>
    <row r="13" spans="1:19" outlineLevel="1" x14ac:dyDescent="0.25">
      <c r="A13" s="1"/>
      <c r="B13" s="31" t="s">
        <v>493</v>
      </c>
      <c r="C13" s="98">
        <v>50051</v>
      </c>
      <c r="D13" s="144">
        <f>VLOOKUP($B13,'Min Rent 2017'!$A$5:$P$12,5,FALSE)</f>
        <v>3472.73</v>
      </c>
      <c r="E13" s="144">
        <f>VLOOKUP($B13,'Min Rent 2017'!$A$5:$P$12,6,FALSE)</f>
        <v>3472.73</v>
      </c>
      <c r="F13" s="144">
        <f>VLOOKUP($B13,'Min Rent 2017'!$A$5:$P$12,7,FALSE)</f>
        <v>3472.73</v>
      </c>
      <c r="G13" s="144">
        <f>VLOOKUP($B13,'Min Rent 2017'!$A$5:$P$12,8,FALSE)</f>
        <v>3472.73</v>
      </c>
      <c r="H13" s="144">
        <f>VLOOKUP($B13,'Min Rent 2017'!$A$5:$P$12,9,FALSE)</f>
        <v>3472.73</v>
      </c>
      <c r="I13" s="144">
        <f>VLOOKUP($B13,'Min Rent 2017'!$A$5:$P$12,10,FALSE)</f>
        <v>3472.73</v>
      </c>
      <c r="J13" s="144">
        <f>VLOOKUP($B13,'Min Rent 2017'!$A$5:$P$12,11,FALSE)</f>
        <v>3472.73</v>
      </c>
      <c r="K13" s="144">
        <f>VLOOKUP($B13,'Min Rent 2017'!$A$5:$P$12,12,FALSE)</f>
        <v>3472.73</v>
      </c>
      <c r="L13" s="144">
        <f>VLOOKUP($B13,'Min Rent 2017'!$A$5:$P$12,13,FALSE)</f>
        <v>3472.73</v>
      </c>
      <c r="M13" s="144">
        <f>VLOOKUP($B13,'Min Rent 2017'!$A$5:$P$12,14,FALSE)</f>
        <v>3472.73</v>
      </c>
      <c r="N13" s="144">
        <f>VLOOKUP($B13,'Min Rent 2017'!$A$5:$P$12,15,FALSE)</f>
        <v>3472.73</v>
      </c>
      <c r="O13" s="144">
        <f>VLOOKUP($B13,'Min Rent 2017'!$A$5:$P$12,16,FALSE)</f>
        <v>3472.73</v>
      </c>
      <c r="P13" s="98">
        <f t="shared" si="0"/>
        <v>41672.760000000009</v>
      </c>
      <c r="Q13" s="98">
        <f t="shared" si="1"/>
        <v>-8378.2399999999907</v>
      </c>
      <c r="R13" s="153">
        <f t="shared" si="2"/>
        <v>-0.16739405806077781</v>
      </c>
    </row>
    <row r="14" spans="1:19" outlineLevel="1" x14ac:dyDescent="0.25">
      <c r="A14" s="1"/>
      <c r="B14" s="31" t="s">
        <v>494</v>
      </c>
      <c r="C14" s="98">
        <v>48569</v>
      </c>
      <c r="D14" s="171">
        <f>VLOOKUP($B14,'Min Rent 2017'!$A$5:$P$12,5,FALSE)</f>
        <v>4249.79</v>
      </c>
      <c r="E14" s="144">
        <f>VLOOKUP($B14,'Min Rent 2017'!$A$5:$P$12,6,FALSE)</f>
        <v>4249.79</v>
      </c>
      <c r="F14" s="144">
        <f>VLOOKUP($B14,'Min Rent 2017'!$A$5:$P$12,7,FALSE)</f>
        <v>4249.79</v>
      </c>
      <c r="G14" s="144">
        <f>VLOOKUP($B14,'Min Rent 2017'!$A$5:$P$12,8,FALSE)</f>
        <v>4249.79</v>
      </c>
      <c r="H14" s="144">
        <f>VLOOKUP($B14,'Min Rent 2017'!$A$5:$P$12,9,FALSE)</f>
        <v>4249.79</v>
      </c>
      <c r="I14" s="144">
        <f>VLOOKUP($B14,'Min Rent 2017'!$A$5:$P$12,10,FALSE)</f>
        <v>4249.79</v>
      </c>
      <c r="J14" s="144">
        <f>VLOOKUP($B14,'Min Rent 2017'!$A$5:$P$12,11,FALSE)</f>
        <v>4249.79</v>
      </c>
      <c r="K14" s="144">
        <f>VLOOKUP($B14,'Min Rent 2017'!$A$5:$P$12,12,FALSE)</f>
        <v>4249.79</v>
      </c>
      <c r="L14" s="144">
        <f>VLOOKUP($B14,'Min Rent 2017'!$A$5:$P$12,13,FALSE)</f>
        <v>4249.79</v>
      </c>
      <c r="M14" s="144">
        <f>VLOOKUP($B14,'Min Rent 2017'!$A$5:$P$12,14,FALSE)</f>
        <v>4249.79</v>
      </c>
      <c r="N14" s="144">
        <f>VLOOKUP($B14,'Min Rent 2017'!$A$5:$P$12,15,FALSE)</f>
        <v>4249.79</v>
      </c>
      <c r="O14" s="144">
        <f>VLOOKUP($B14,'Min Rent 2017'!$A$5:$P$12,16,FALSE)</f>
        <v>4249.79</v>
      </c>
      <c r="P14" s="98">
        <f t="shared" si="0"/>
        <v>50997.48</v>
      </c>
      <c r="Q14" s="98">
        <f t="shared" si="1"/>
        <v>2428.4800000000032</v>
      </c>
      <c r="R14" s="153">
        <f t="shared" si="2"/>
        <v>5.0000617677942789E-2</v>
      </c>
    </row>
    <row r="15" spans="1:19" outlineLevel="1" x14ac:dyDescent="0.25">
      <c r="A15" s="1"/>
      <c r="B15" s="31" t="s">
        <v>495</v>
      </c>
      <c r="C15" s="98">
        <v>37800</v>
      </c>
      <c r="D15" s="144">
        <f>VLOOKUP($B15,'Min Rent 2017'!$A$5:$P$12,5,FALSE)</f>
        <v>3150</v>
      </c>
      <c r="E15" s="144">
        <f>VLOOKUP($B15,'Min Rent 2017'!$A$5:$P$12,6,FALSE)</f>
        <v>3150</v>
      </c>
      <c r="F15" s="144">
        <f>VLOOKUP($B15,'Min Rent 2017'!$A$5:$P$12,7,FALSE)</f>
        <v>3150</v>
      </c>
      <c r="G15" s="144">
        <f>VLOOKUP($B15,'Min Rent 2017'!$A$5:$P$12,8,FALSE)</f>
        <v>3150</v>
      </c>
      <c r="H15" s="144">
        <f>VLOOKUP($B15,'Min Rent 2017'!$A$5:$P$12,9,FALSE)</f>
        <v>3150</v>
      </c>
      <c r="I15" s="144">
        <f>VLOOKUP($B15,'Min Rent 2017'!$A$5:$P$12,10,FALSE)</f>
        <v>3150</v>
      </c>
      <c r="J15" s="144">
        <f>VLOOKUP($B15,'Min Rent 2017'!$A$5:$P$12,11,FALSE)</f>
        <v>3150</v>
      </c>
      <c r="K15" s="144">
        <f>VLOOKUP($B15,'Min Rent 2017'!$A$5:$P$12,12,FALSE)</f>
        <v>3150</v>
      </c>
      <c r="L15" s="144">
        <f>VLOOKUP($B15,'Min Rent 2017'!$A$5:$P$12,13,FALSE)</f>
        <v>3150</v>
      </c>
      <c r="M15" s="144">
        <f>VLOOKUP($B15,'Min Rent 2017'!$A$5:$P$12,14,FALSE)</f>
        <v>3150</v>
      </c>
      <c r="N15" s="144">
        <f>VLOOKUP($B15,'Min Rent 2017'!$A$5:$P$12,15,FALSE)</f>
        <v>3150</v>
      </c>
      <c r="O15" s="144">
        <f>VLOOKUP($B15,'Min Rent 2017'!$A$5:$P$12,16,FALSE)</f>
        <v>3150</v>
      </c>
      <c r="P15" s="98">
        <f t="shared" si="0"/>
        <v>37800</v>
      </c>
      <c r="Q15" s="98">
        <f t="shared" si="1"/>
        <v>0</v>
      </c>
      <c r="R15" s="153">
        <f t="shared" si="2"/>
        <v>0</v>
      </c>
    </row>
    <row r="16" spans="1:19" outlineLevel="1" x14ac:dyDescent="0.25">
      <c r="A16" s="7"/>
      <c r="B16" s="31" t="s">
        <v>496</v>
      </c>
      <c r="C16" s="98">
        <v>52063</v>
      </c>
      <c r="D16" s="144">
        <f>VLOOKUP($B16,'Min Rent 2017'!$A$5:$P$12,5,FALSE)</f>
        <v>4250</v>
      </c>
      <c r="E16" s="144">
        <f>VLOOKUP($B16,'Min Rent 2017'!$A$5:$P$12,6,FALSE)</f>
        <v>4250</v>
      </c>
      <c r="F16" s="144">
        <f>VLOOKUP($B16,'Min Rent 2017'!$A$5:$P$12,7,FALSE)</f>
        <v>4250</v>
      </c>
      <c r="G16" s="144">
        <f>VLOOKUP($B16,'Min Rent 2017'!$A$5:$P$12,8,FALSE)</f>
        <v>4250</v>
      </c>
      <c r="H16" s="144">
        <f>VLOOKUP($B16,'Min Rent 2017'!$A$5:$P$12,9,FALSE)</f>
        <v>4250</v>
      </c>
      <c r="I16" s="144">
        <f>VLOOKUP($B16,'Min Rent 2017'!$A$5:$P$12,10,FALSE)</f>
        <v>4250</v>
      </c>
      <c r="J16" s="144">
        <f>VLOOKUP($B16,'Min Rent 2017'!$A$5:$P$12,11,FALSE)</f>
        <v>4250</v>
      </c>
      <c r="K16" s="144">
        <f>VLOOKUP($B16,'Min Rent 2017'!$A$5:$P$12,12,FALSE)</f>
        <v>4250</v>
      </c>
      <c r="L16" s="144">
        <f>VLOOKUP($B16,'Min Rent 2017'!$A$5:$P$12,13,FALSE)</f>
        <v>4250</v>
      </c>
      <c r="M16" s="144">
        <f>VLOOKUP($B16,'Min Rent 2017'!$A$5:$P$12,14,FALSE)</f>
        <v>4250</v>
      </c>
      <c r="N16" s="144">
        <f>VLOOKUP($B16,'Min Rent 2017'!$A$5:$P$12,15,FALSE)</f>
        <v>4250</v>
      </c>
      <c r="O16" s="144">
        <f>VLOOKUP($B16,'Min Rent 2017'!$A$5:$P$12,16,FALSE)</f>
        <v>4250</v>
      </c>
      <c r="P16" s="98">
        <f t="shared" si="0"/>
        <v>51000</v>
      </c>
      <c r="Q16" s="98">
        <f t="shared" si="1"/>
        <v>-1063</v>
      </c>
      <c r="R16" s="153">
        <f t="shared" si="2"/>
        <v>-2.0417571019726102E-2</v>
      </c>
    </row>
    <row r="17" spans="1:18" outlineLevel="1" x14ac:dyDescent="0.25">
      <c r="A17" s="7"/>
      <c r="B17" s="31" t="s">
        <v>497</v>
      </c>
      <c r="C17" s="98">
        <v>91010</v>
      </c>
      <c r="D17" s="144">
        <f>VLOOKUP($B17,'Min Rent 2017'!$A$5:$P$12,5,FALSE)</f>
        <v>7584.17</v>
      </c>
      <c r="E17" s="144">
        <f>VLOOKUP($B17,'Min Rent 2017'!$A$5:$P$12,6,FALSE)</f>
        <v>7584.17</v>
      </c>
      <c r="F17" s="144">
        <f>VLOOKUP($B17,'Min Rent 2017'!$A$5:$P$12,7,FALSE)</f>
        <v>7584.17</v>
      </c>
      <c r="G17" s="144">
        <f>VLOOKUP($B17,'Min Rent 2017'!$A$5:$P$12,8,FALSE)</f>
        <v>7584.17</v>
      </c>
      <c r="H17" s="144">
        <f>VLOOKUP($B17,'Min Rent 2017'!$A$5:$P$12,9,FALSE)</f>
        <v>7584.17</v>
      </c>
      <c r="I17" s="144">
        <f>VLOOKUP($B17,'Min Rent 2017'!$A$5:$P$12,10,FALSE)</f>
        <v>7584.17</v>
      </c>
      <c r="J17" s="144">
        <f>VLOOKUP($B17,'Min Rent 2017'!$A$5:$P$12,11,FALSE)</f>
        <v>7584.17</v>
      </c>
      <c r="K17" s="144">
        <f>VLOOKUP($B17,'Min Rent 2017'!$A$5:$P$12,12,FALSE)</f>
        <v>7584.17</v>
      </c>
      <c r="L17" s="144">
        <f>VLOOKUP($B17,'Min Rent 2017'!$A$5:$P$12,13,FALSE)</f>
        <v>7584.17</v>
      </c>
      <c r="M17" s="144">
        <f>VLOOKUP($B17,'Min Rent 2017'!$A$5:$P$12,14,FALSE)</f>
        <v>7584.17</v>
      </c>
      <c r="N17" s="144">
        <f>VLOOKUP($B17,'Min Rent 2017'!$A$5:$P$12,15,FALSE)</f>
        <v>7584.17</v>
      </c>
      <c r="O17" s="144">
        <f>VLOOKUP($B17,'Min Rent 2017'!$A$5:$P$12,16,FALSE)</f>
        <v>7584.17</v>
      </c>
      <c r="P17" s="98">
        <f t="shared" si="0"/>
        <v>91010.04</v>
      </c>
      <c r="Q17" s="98">
        <f t="shared" si="1"/>
        <v>3.9999999993597157E-2</v>
      </c>
      <c r="R17" s="153">
        <f t="shared" si="2"/>
        <v>4.395121414525564E-7</v>
      </c>
    </row>
    <row r="18" spans="1:18" outlineLevel="1" x14ac:dyDescent="0.25">
      <c r="A18" s="7"/>
      <c r="B18" s="31" t="s">
        <v>498</v>
      </c>
      <c r="C18" s="98">
        <v>41057</v>
      </c>
      <c r="D18" s="144">
        <f>VLOOKUP($B18,'Min Rent 2017'!$A$5:$P$12,5,FALSE)</f>
        <v>3421.42</v>
      </c>
      <c r="E18" s="144">
        <f>VLOOKUP($B18,'Min Rent 2017'!$A$5:$P$12,6,FALSE)</f>
        <v>3421.42</v>
      </c>
      <c r="F18" s="144">
        <f>VLOOKUP($B18,'Min Rent 2017'!$A$5:$P$12,7,FALSE)</f>
        <v>3421.42</v>
      </c>
      <c r="G18" s="144">
        <f>VLOOKUP($B18,'Min Rent 2017'!$A$5:$P$12,8,FALSE)</f>
        <v>3421.42</v>
      </c>
      <c r="H18" s="144">
        <f>VLOOKUP($B18,'Min Rent 2017'!$A$5:$P$12,9,FALSE)</f>
        <v>3421.42</v>
      </c>
      <c r="I18" s="144">
        <f>VLOOKUP($B18,'Min Rent 2017'!$A$5:$P$12,10,FALSE)</f>
        <v>3421.42</v>
      </c>
      <c r="J18" s="144">
        <f>VLOOKUP($B18,'Min Rent 2017'!$A$5:$P$12,11,FALSE)</f>
        <v>3421.42</v>
      </c>
      <c r="K18" s="144">
        <f>VLOOKUP($B18,'Min Rent 2017'!$A$5:$P$12,12,FALSE)</f>
        <v>3421.42</v>
      </c>
      <c r="L18" s="144">
        <f>VLOOKUP($B18,'Min Rent 2017'!$A$5:$P$12,13,FALSE)</f>
        <v>3421.42</v>
      </c>
      <c r="M18" s="144">
        <f>VLOOKUP($B18,'Min Rent 2017'!$A$5:$P$12,14,FALSE)</f>
        <v>3421.42</v>
      </c>
      <c r="N18" s="144">
        <f>VLOOKUP($B18,'Min Rent 2017'!$A$5:$P$12,15,FALSE)</f>
        <v>3421.42</v>
      </c>
      <c r="O18" s="98">
        <f>VLOOKUP($B18,'Min Rent 2017'!$A$5:$P$12,16,FALSE)</f>
        <v>3421.42</v>
      </c>
      <c r="P18" s="98">
        <f t="shared" si="0"/>
        <v>41057.039999999986</v>
      </c>
      <c r="Q18" s="98">
        <f t="shared" si="1"/>
        <v>3.99999999863212E-2</v>
      </c>
      <c r="R18" s="153">
        <f t="shared" si="2"/>
        <v>9.7425530326914292E-7</v>
      </c>
    </row>
    <row r="19" spans="1:18" x14ac:dyDescent="0.25">
      <c r="A19" s="1" t="s">
        <v>7</v>
      </c>
      <c r="B19" s="5" t="s">
        <v>8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>
        <v>0</v>
      </c>
      <c r="Q19" s="98" t="str">
        <f t="shared" si="1"/>
        <v/>
      </c>
      <c r="R19" s="153" t="str">
        <f t="shared" si="2"/>
        <v/>
      </c>
    </row>
    <row r="20" spans="1:18" ht="15.75" thickBot="1" x14ac:dyDescent="0.3">
      <c r="A20" s="1"/>
      <c r="B20" s="5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 t="str">
        <f t="shared" si="1"/>
        <v/>
      </c>
      <c r="R20" s="153" t="str">
        <f t="shared" si="2"/>
        <v/>
      </c>
    </row>
    <row r="21" spans="1:18" s="91" customFormat="1" x14ac:dyDescent="0.25">
      <c r="A21" s="6" t="s">
        <v>9</v>
      </c>
      <c r="B21" s="3" t="s">
        <v>10</v>
      </c>
      <c r="C21" s="100">
        <f>SUM(C11:C18)</f>
        <v>636369</v>
      </c>
      <c r="D21" s="100">
        <f>SUM(D11:D18)</f>
        <v>52446.359999999993</v>
      </c>
      <c r="E21" s="100">
        <f>SUM(E11:E18)</f>
        <v>52446.359999999993</v>
      </c>
      <c r="F21" s="100">
        <f>SUM(F11:F18)</f>
        <v>53866.429999999993</v>
      </c>
      <c r="G21" s="100">
        <f>SUM(G11:G18)</f>
        <v>53866.429999999993</v>
      </c>
      <c r="H21" s="100">
        <f>SUM(H11:H18)</f>
        <v>53866.429999999993</v>
      </c>
      <c r="I21" s="100">
        <f>SUM(I11:I18)</f>
        <v>53866.429999999993</v>
      </c>
      <c r="J21" s="100">
        <f>SUM(J11:J18)</f>
        <v>53866.429999999993</v>
      </c>
      <c r="K21" s="100">
        <f>SUM(K11:K18)</f>
        <v>53866.429999999993</v>
      </c>
      <c r="L21" s="100">
        <f>SUM(L11:L18)</f>
        <v>53866.429999999993</v>
      </c>
      <c r="M21" s="100">
        <f>SUM(M11:M18)</f>
        <v>53866.429999999993</v>
      </c>
      <c r="N21" s="100">
        <f>SUM(N11:N18)</f>
        <v>53866.429999999993</v>
      </c>
      <c r="O21" s="100">
        <f>SUM(O11:O18)</f>
        <v>53866.429999999993</v>
      </c>
      <c r="P21" s="100">
        <f>SUM(P11:P18)</f>
        <v>643557.02</v>
      </c>
      <c r="Q21" s="100">
        <f>SUM(Q11:Q18)</f>
        <v>7188.0199999999895</v>
      </c>
      <c r="R21" s="153">
        <f t="shared" si="2"/>
        <v>1.1295364796210986E-2</v>
      </c>
    </row>
    <row r="22" spans="1:18" x14ac:dyDescent="0.25">
      <c r="A22" s="1"/>
      <c r="B22" s="5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 t="str">
        <f t="shared" si="1"/>
        <v/>
      </c>
      <c r="R22" s="153" t="str">
        <f t="shared" si="2"/>
        <v/>
      </c>
    </row>
    <row r="23" spans="1:18" x14ac:dyDescent="0.25">
      <c r="A23" s="1" t="s">
        <v>11</v>
      </c>
      <c r="B23" s="5" t="s">
        <v>12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 t="str">
        <f t="shared" si="1"/>
        <v/>
      </c>
      <c r="R23" s="153" t="str">
        <f t="shared" si="2"/>
        <v/>
      </c>
    </row>
    <row r="24" spans="1:18" x14ac:dyDescent="0.25">
      <c r="A24" s="1" t="s">
        <v>13</v>
      </c>
      <c r="B24" s="5" t="s">
        <v>14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>
        <v>0</v>
      </c>
      <c r="Q24" s="98" t="str">
        <f t="shared" si="1"/>
        <v/>
      </c>
      <c r="R24" s="153" t="str">
        <f t="shared" si="2"/>
        <v/>
      </c>
    </row>
    <row r="25" spans="1:18" x14ac:dyDescent="0.25">
      <c r="A25" s="1" t="s">
        <v>15</v>
      </c>
      <c r="B25" s="5" t="s">
        <v>16</v>
      </c>
      <c r="C25" s="104">
        <f>SUM(C26:C33)</f>
        <v>154545</v>
      </c>
      <c r="D25" s="104">
        <f>ROUND(SUM(D26:D33),0)</f>
        <v>6808</v>
      </c>
      <c r="E25" s="104">
        <f>ROUND(SUM(E26:E33),0)</f>
        <v>6808</v>
      </c>
      <c r="F25" s="104">
        <f>ROUND(SUM(F26:F33),0)</f>
        <v>6808</v>
      </c>
      <c r="G25" s="104">
        <f>ROUND(SUM(G26:G33),0)</f>
        <v>6808</v>
      </c>
      <c r="H25" s="104">
        <f>ROUND(SUM(H26:H33),0)</f>
        <v>6808</v>
      </c>
      <c r="I25" s="104">
        <f>ROUND(SUM(I26:I33),0)</f>
        <v>6808</v>
      </c>
      <c r="J25" s="104">
        <f>ROUND(SUM(J26:J33),0)</f>
        <v>6808</v>
      </c>
      <c r="K25" s="104">
        <f>ROUND(SUM(K26:K33),0)</f>
        <v>6808</v>
      </c>
      <c r="L25" s="104">
        <f>ROUND(SUM(L26:L33),0)</f>
        <v>6808</v>
      </c>
      <c r="M25" s="104">
        <f>ROUND(SUM(M26:M33),0)</f>
        <v>6808</v>
      </c>
      <c r="N25" s="104">
        <f>ROUND(SUM(N26:N33),0)</f>
        <v>6808</v>
      </c>
      <c r="O25" s="104">
        <f>ROUND(SUM(O26:O33),0)</f>
        <v>6808</v>
      </c>
      <c r="P25" s="104">
        <f>ROUND(SUM(P26:P33),0)</f>
        <v>81695</v>
      </c>
      <c r="Q25" s="104">
        <f t="shared" si="1"/>
        <v>-72850</v>
      </c>
      <c r="R25" s="153">
        <f t="shared" si="2"/>
        <v>-0.47138373936393929</v>
      </c>
    </row>
    <row r="26" spans="1:18" outlineLevel="1" x14ac:dyDescent="0.25">
      <c r="A26" s="1"/>
      <c r="B26" s="31" t="s">
        <v>491</v>
      </c>
      <c r="C26" s="98">
        <v>89076</v>
      </c>
      <c r="D26" s="98">
        <f>VLOOKUP($B26,'CAM est 2017'!$A$6:$P$13,5,FALSE)</f>
        <v>3552.17</v>
      </c>
      <c r="E26" s="98">
        <f>VLOOKUP($B$26,'CAM est 2017'!$A$6:$P$13,5,FALSE)</f>
        <v>3552.17</v>
      </c>
      <c r="F26" s="98">
        <f>VLOOKUP($B$26,'CAM est 2017'!$A$6:$P$13,5,FALSE)</f>
        <v>3552.17</v>
      </c>
      <c r="G26" s="98">
        <f>VLOOKUP($B$26,'CAM est 2017'!$A$6:$P$13,5,FALSE)</f>
        <v>3552.17</v>
      </c>
      <c r="H26" s="98">
        <f>VLOOKUP($B$26,'CAM est 2017'!$A$6:$P$13,5,FALSE)</f>
        <v>3552.17</v>
      </c>
      <c r="I26" s="98">
        <f>VLOOKUP($B$26,'CAM est 2017'!$A$6:$P$13,5,FALSE)</f>
        <v>3552.17</v>
      </c>
      <c r="J26" s="98">
        <f>VLOOKUP($B$26,'CAM est 2017'!$A$6:$P$13,5,FALSE)</f>
        <v>3552.17</v>
      </c>
      <c r="K26" s="98">
        <f>VLOOKUP($B$26,'CAM est 2017'!$A$6:$P$13,5,FALSE)</f>
        <v>3552.17</v>
      </c>
      <c r="L26" s="98">
        <f>VLOOKUP($B$26,'CAM est 2017'!$A$6:$P$13,5,FALSE)</f>
        <v>3552.17</v>
      </c>
      <c r="M26" s="98">
        <f>VLOOKUP($B$26,'CAM est 2017'!$A$6:$P$13,5,FALSE)</f>
        <v>3552.17</v>
      </c>
      <c r="N26" s="98">
        <f>VLOOKUP($B$26,'CAM est 2017'!$A$6:$P$13,5,FALSE)</f>
        <v>3552.17</v>
      </c>
      <c r="O26" s="98">
        <f>VLOOKUP($B$26,'CAM est 2017'!$A$6:$P$13,5,FALSE)</f>
        <v>3552.17</v>
      </c>
      <c r="P26" s="98">
        <f t="shared" ref="P26:P36" si="3">SUM(D26:O26)</f>
        <v>42626.039999999986</v>
      </c>
      <c r="Q26" s="98">
        <f t="shared" si="1"/>
        <v>-46449.960000000014</v>
      </c>
      <c r="R26" s="153">
        <f t="shared" si="2"/>
        <v>-0.52146436750639913</v>
      </c>
    </row>
    <row r="27" spans="1:18" outlineLevel="1" x14ac:dyDescent="0.25">
      <c r="A27" s="1"/>
      <c r="B27" s="31" t="s">
        <v>492</v>
      </c>
      <c r="C27" s="98">
        <v>8843</v>
      </c>
      <c r="D27" s="98">
        <f>VLOOKUP($B27,'CAM est 2017'!$A$6:$P$13,5,FALSE)</f>
        <v>395.44</v>
      </c>
      <c r="E27" s="98">
        <f>VLOOKUP($B27,'CAM est 2017'!$A$6:$P$13,5,FALSE)</f>
        <v>395.44</v>
      </c>
      <c r="F27" s="98">
        <f>VLOOKUP($B27,'CAM est 2017'!$A$6:$P$13,5,FALSE)</f>
        <v>395.44</v>
      </c>
      <c r="G27" s="98">
        <f>VLOOKUP($B27,'CAM est 2017'!$A$6:$P$13,5,FALSE)</f>
        <v>395.44</v>
      </c>
      <c r="H27" s="98">
        <f>VLOOKUP($B27,'CAM est 2017'!$A$6:$P$13,5,FALSE)</f>
        <v>395.44</v>
      </c>
      <c r="I27" s="98">
        <f>VLOOKUP($B27,'CAM est 2017'!$A$6:$P$13,5,FALSE)</f>
        <v>395.44</v>
      </c>
      <c r="J27" s="98">
        <f>VLOOKUP($B27,'CAM est 2017'!$A$6:$P$13,5,FALSE)</f>
        <v>395.44</v>
      </c>
      <c r="K27" s="98">
        <f>VLOOKUP($B27,'CAM est 2017'!$A$6:$P$13,5,FALSE)</f>
        <v>395.44</v>
      </c>
      <c r="L27" s="98">
        <f>VLOOKUP($B27,'CAM est 2017'!$A$6:$P$13,5,FALSE)</f>
        <v>395.44</v>
      </c>
      <c r="M27" s="98">
        <f>VLOOKUP($B27,'CAM est 2017'!$A$6:$P$13,5,FALSE)</f>
        <v>395.44</v>
      </c>
      <c r="N27" s="98">
        <f>VLOOKUP($B27,'CAM est 2017'!$A$6:$P$13,5,FALSE)</f>
        <v>395.44</v>
      </c>
      <c r="O27" s="98">
        <f>VLOOKUP($B27,'CAM est 2017'!$A$6:$P$13,5,FALSE)</f>
        <v>395.44</v>
      </c>
      <c r="P27" s="98">
        <f t="shared" si="3"/>
        <v>4745.28</v>
      </c>
      <c r="Q27" s="98">
        <f t="shared" si="1"/>
        <v>-4097.72</v>
      </c>
      <c r="R27" s="153">
        <f t="shared" si="2"/>
        <v>-0.46338572882505941</v>
      </c>
    </row>
    <row r="28" spans="1:18" outlineLevel="1" x14ac:dyDescent="0.25">
      <c r="A28" s="1"/>
      <c r="B28" s="31" t="s">
        <v>493</v>
      </c>
      <c r="C28" s="98">
        <v>5012</v>
      </c>
      <c r="D28" s="98">
        <f>VLOOKUP($B28,'CAM est 2017'!$A$6:$P$13,5,FALSE)</f>
        <v>258.31</v>
      </c>
      <c r="E28" s="98">
        <f>VLOOKUP($B28,'CAM est 2017'!$A$6:$P$13,5,FALSE)</f>
        <v>258.31</v>
      </c>
      <c r="F28" s="98">
        <f>VLOOKUP($B28,'CAM est 2017'!$A$6:$P$13,5,FALSE)</f>
        <v>258.31</v>
      </c>
      <c r="G28" s="98">
        <f>VLOOKUP($B28,'CAM est 2017'!$A$6:$P$13,5,FALSE)</f>
        <v>258.31</v>
      </c>
      <c r="H28" s="98">
        <f>VLOOKUP($B28,'CAM est 2017'!$A$6:$P$13,5,FALSE)</f>
        <v>258.31</v>
      </c>
      <c r="I28" s="98">
        <f>VLOOKUP($B28,'CAM est 2017'!$A$6:$P$13,5,FALSE)</f>
        <v>258.31</v>
      </c>
      <c r="J28" s="98">
        <f>VLOOKUP($B28,'CAM est 2017'!$A$6:$P$13,5,FALSE)</f>
        <v>258.31</v>
      </c>
      <c r="K28" s="98">
        <f>VLOOKUP($B28,'CAM est 2017'!$A$6:$P$13,5,FALSE)</f>
        <v>258.31</v>
      </c>
      <c r="L28" s="98">
        <f>VLOOKUP($B28,'CAM est 2017'!$A$6:$P$13,5,FALSE)</f>
        <v>258.31</v>
      </c>
      <c r="M28" s="98">
        <f>VLOOKUP($B28,'CAM est 2017'!$A$6:$P$13,5,FALSE)</f>
        <v>258.31</v>
      </c>
      <c r="N28" s="98">
        <f>VLOOKUP($B28,'CAM est 2017'!$A$6:$P$13,5,FALSE)</f>
        <v>258.31</v>
      </c>
      <c r="O28" s="98">
        <f>VLOOKUP($B28,'CAM est 2017'!$A$6:$P$13,5,FALSE)</f>
        <v>258.31</v>
      </c>
      <c r="P28" s="98">
        <f t="shared" si="3"/>
        <v>3099.72</v>
      </c>
      <c r="Q28" s="98">
        <f t="shared" si="1"/>
        <v>-1912.2800000000002</v>
      </c>
      <c r="R28" s="153">
        <f t="shared" si="2"/>
        <v>-0.38154030327214689</v>
      </c>
    </row>
    <row r="29" spans="1:18" outlineLevel="1" x14ac:dyDescent="0.25">
      <c r="A29" s="1"/>
      <c r="B29" s="31" t="s">
        <v>494</v>
      </c>
      <c r="C29" s="98">
        <v>6303</v>
      </c>
      <c r="D29" s="98">
        <f>VLOOKUP($B29,'CAM est 2017'!$A$6:$P$13,5,FALSE)</f>
        <v>885.53</v>
      </c>
      <c r="E29" s="98">
        <f>VLOOKUP($B29,'CAM est 2017'!$A$6:$P$13,5,FALSE)</f>
        <v>885.53</v>
      </c>
      <c r="F29" s="98">
        <f>VLOOKUP($B29,'CAM est 2017'!$A$6:$P$13,5,FALSE)</f>
        <v>885.53</v>
      </c>
      <c r="G29" s="98">
        <f>VLOOKUP($B29,'CAM est 2017'!$A$6:$P$13,5,FALSE)</f>
        <v>885.53</v>
      </c>
      <c r="H29" s="98">
        <f>VLOOKUP($B29,'CAM est 2017'!$A$6:$P$13,5,FALSE)</f>
        <v>885.53</v>
      </c>
      <c r="I29" s="98">
        <f>VLOOKUP($B29,'CAM est 2017'!$A$6:$P$13,5,FALSE)</f>
        <v>885.53</v>
      </c>
      <c r="J29" s="98">
        <f>VLOOKUP($B29,'CAM est 2017'!$A$6:$P$13,5,FALSE)</f>
        <v>885.53</v>
      </c>
      <c r="K29" s="98">
        <f>VLOOKUP($B29,'CAM est 2017'!$A$6:$P$13,5,FALSE)</f>
        <v>885.53</v>
      </c>
      <c r="L29" s="98">
        <f>VLOOKUP($B29,'CAM est 2017'!$A$6:$P$13,5,FALSE)</f>
        <v>885.53</v>
      </c>
      <c r="M29" s="98">
        <f>VLOOKUP($B29,'CAM est 2017'!$A$6:$P$13,5,FALSE)</f>
        <v>885.53</v>
      </c>
      <c r="N29" s="98">
        <f>VLOOKUP($B29,'CAM est 2017'!$A$6:$P$13,5,FALSE)</f>
        <v>885.53</v>
      </c>
      <c r="O29" s="98">
        <f>VLOOKUP($B29,'CAM est 2017'!$A$6:$P$13,5,FALSE)</f>
        <v>885.53</v>
      </c>
      <c r="P29" s="98">
        <f t="shared" si="3"/>
        <v>10626.36</v>
      </c>
      <c r="Q29" s="98">
        <f t="shared" si="1"/>
        <v>4323.3600000000006</v>
      </c>
      <c r="R29" s="153">
        <f t="shared" si="2"/>
        <v>0.6859209900047597</v>
      </c>
    </row>
    <row r="30" spans="1:18" outlineLevel="1" x14ac:dyDescent="0.25">
      <c r="A30" s="1"/>
      <c r="B30" s="31" t="s">
        <v>495</v>
      </c>
      <c r="C30" s="98">
        <v>0</v>
      </c>
      <c r="D30" s="98">
        <f>VLOOKUP($B30,'CAM est 2017'!$A$6:$P$13,5,FALSE)</f>
        <v>0</v>
      </c>
      <c r="E30" s="98">
        <f>VLOOKUP($B30,'CAM est 2017'!$A$6:$P$13,5,FALSE)</f>
        <v>0</v>
      </c>
      <c r="F30" s="98">
        <f>VLOOKUP($B30,'CAM est 2017'!$A$6:$P$13,5,FALSE)</f>
        <v>0</v>
      </c>
      <c r="G30" s="98">
        <f>VLOOKUP($B30,'CAM est 2017'!$A$6:$P$13,5,FALSE)</f>
        <v>0</v>
      </c>
      <c r="H30" s="98">
        <f>VLOOKUP($B30,'CAM est 2017'!$A$6:$P$13,5,FALSE)</f>
        <v>0</v>
      </c>
      <c r="I30" s="98">
        <f>VLOOKUP($B30,'CAM est 2017'!$A$6:$P$13,5,FALSE)</f>
        <v>0</v>
      </c>
      <c r="J30" s="98">
        <f>VLOOKUP($B30,'CAM est 2017'!$A$6:$P$13,5,FALSE)</f>
        <v>0</v>
      </c>
      <c r="K30" s="98">
        <f>VLOOKUP($B30,'CAM est 2017'!$A$6:$P$13,5,FALSE)</f>
        <v>0</v>
      </c>
      <c r="L30" s="98">
        <f>VLOOKUP($B30,'CAM est 2017'!$A$6:$P$13,5,FALSE)</f>
        <v>0</v>
      </c>
      <c r="M30" s="98">
        <f>VLOOKUP($B30,'CAM est 2017'!$A$6:$P$13,5,FALSE)</f>
        <v>0</v>
      </c>
      <c r="N30" s="98">
        <f>VLOOKUP($B30,'CAM est 2017'!$A$6:$P$13,5,FALSE)</f>
        <v>0</v>
      </c>
      <c r="O30" s="98">
        <f>VLOOKUP($B30,'CAM est 2017'!$A$6:$P$13,5,FALSE)</f>
        <v>0</v>
      </c>
      <c r="P30" s="98">
        <f t="shared" si="3"/>
        <v>0</v>
      </c>
      <c r="Q30" s="98">
        <f t="shared" si="1"/>
        <v>0</v>
      </c>
      <c r="R30" s="153" t="str">
        <f t="shared" si="2"/>
        <v/>
      </c>
    </row>
    <row r="31" spans="1:18" outlineLevel="1" x14ac:dyDescent="0.25">
      <c r="A31" s="1"/>
      <c r="B31" s="31" t="s">
        <v>496</v>
      </c>
      <c r="C31" s="98">
        <v>12530</v>
      </c>
      <c r="D31" s="98">
        <f>VLOOKUP($B31,'CAM est 2017'!$A$6:$P$13,5,FALSE)</f>
        <v>435.93</v>
      </c>
      <c r="E31" s="98">
        <f>VLOOKUP($B31,'CAM est 2017'!$A$6:$P$13,5,FALSE)</f>
        <v>435.93</v>
      </c>
      <c r="F31" s="98">
        <f>VLOOKUP($B31,'CAM est 2017'!$A$6:$P$13,5,FALSE)</f>
        <v>435.93</v>
      </c>
      <c r="G31" s="98">
        <f>VLOOKUP($B31,'CAM est 2017'!$A$6:$P$13,5,FALSE)</f>
        <v>435.93</v>
      </c>
      <c r="H31" s="98">
        <f>VLOOKUP($B31,'CAM est 2017'!$A$6:$P$13,5,FALSE)</f>
        <v>435.93</v>
      </c>
      <c r="I31" s="98">
        <f>VLOOKUP($B31,'CAM est 2017'!$A$6:$P$13,5,FALSE)</f>
        <v>435.93</v>
      </c>
      <c r="J31" s="98">
        <f>VLOOKUP($B31,'CAM est 2017'!$A$6:$P$13,5,FALSE)</f>
        <v>435.93</v>
      </c>
      <c r="K31" s="98">
        <f>VLOOKUP($B31,'CAM est 2017'!$A$6:$P$13,5,FALSE)</f>
        <v>435.93</v>
      </c>
      <c r="L31" s="98">
        <f>VLOOKUP($B31,'CAM est 2017'!$A$6:$P$13,5,FALSE)</f>
        <v>435.93</v>
      </c>
      <c r="M31" s="98">
        <f>VLOOKUP($B31,'CAM est 2017'!$A$6:$P$13,5,FALSE)</f>
        <v>435.93</v>
      </c>
      <c r="N31" s="98">
        <f>VLOOKUP($B31,'CAM est 2017'!$A$6:$P$13,5,FALSE)</f>
        <v>435.93</v>
      </c>
      <c r="O31" s="98">
        <f>VLOOKUP($B31,'CAM est 2017'!$A$6:$P$13,5,FALSE)</f>
        <v>435.93</v>
      </c>
      <c r="P31" s="98">
        <f t="shared" si="3"/>
        <v>5231.16</v>
      </c>
      <c r="Q31" s="98">
        <f t="shared" si="1"/>
        <v>-7298.84</v>
      </c>
      <c r="R31" s="153">
        <f t="shared" si="2"/>
        <v>-0.58250917797286517</v>
      </c>
    </row>
    <row r="32" spans="1:18" outlineLevel="1" x14ac:dyDescent="0.25">
      <c r="A32" s="7"/>
      <c r="B32" s="31" t="s">
        <v>497</v>
      </c>
      <c r="C32" s="98">
        <v>25691</v>
      </c>
      <c r="D32" s="98">
        <f>VLOOKUP($B32,'CAM est 2017'!$A$6:$P$13,5,FALSE)</f>
        <v>816.1</v>
      </c>
      <c r="E32" s="98">
        <f>VLOOKUP($B32,'CAM est 2017'!$A$6:$P$13,5,FALSE)</f>
        <v>816.1</v>
      </c>
      <c r="F32" s="98">
        <f>VLOOKUP($B32,'CAM est 2017'!$A$6:$P$13,5,FALSE)</f>
        <v>816.1</v>
      </c>
      <c r="G32" s="98">
        <f>VLOOKUP($B32,'CAM est 2017'!$A$6:$P$13,5,FALSE)</f>
        <v>816.1</v>
      </c>
      <c r="H32" s="98">
        <f>VLOOKUP($B32,'CAM est 2017'!$A$6:$P$13,5,FALSE)</f>
        <v>816.1</v>
      </c>
      <c r="I32" s="98">
        <f>VLOOKUP($B32,'CAM est 2017'!$A$6:$P$13,5,FALSE)</f>
        <v>816.1</v>
      </c>
      <c r="J32" s="98">
        <f>VLOOKUP($B32,'CAM est 2017'!$A$6:$P$13,5,FALSE)</f>
        <v>816.1</v>
      </c>
      <c r="K32" s="98">
        <f>VLOOKUP($B32,'CAM est 2017'!$A$6:$P$13,5,FALSE)</f>
        <v>816.1</v>
      </c>
      <c r="L32" s="98">
        <f>VLOOKUP($B32,'CAM est 2017'!$A$6:$P$13,5,FALSE)</f>
        <v>816.1</v>
      </c>
      <c r="M32" s="98">
        <f>VLOOKUP($B32,'CAM est 2017'!$A$6:$P$13,5,FALSE)</f>
        <v>816.1</v>
      </c>
      <c r="N32" s="98">
        <f>VLOOKUP($B32,'CAM est 2017'!$A$6:$P$13,5,FALSE)</f>
        <v>816.1</v>
      </c>
      <c r="O32" s="98">
        <f>VLOOKUP($B32,'CAM est 2017'!$A$6:$P$13,5,FALSE)</f>
        <v>816.1</v>
      </c>
      <c r="P32" s="98">
        <f t="shared" si="3"/>
        <v>9793.2000000000025</v>
      </c>
      <c r="Q32" s="98">
        <f t="shared" si="1"/>
        <v>-15897.799999999997</v>
      </c>
      <c r="R32" s="153">
        <f t="shared" si="2"/>
        <v>-0.61880814292943043</v>
      </c>
    </row>
    <row r="33" spans="1:18" outlineLevel="1" x14ac:dyDescent="0.25">
      <c r="A33" s="7"/>
      <c r="B33" s="31" t="s">
        <v>498</v>
      </c>
      <c r="C33" s="98">
        <v>7090</v>
      </c>
      <c r="D33" s="98">
        <f>VLOOKUP($B33,'CAM est 2017'!$A$6:$P$13,5,FALSE)</f>
        <v>464.4</v>
      </c>
      <c r="E33" s="98">
        <f>VLOOKUP($B33,'CAM est 2017'!$A$6:$P$13,5,FALSE)</f>
        <v>464.4</v>
      </c>
      <c r="F33" s="98">
        <f>VLOOKUP($B33,'CAM est 2017'!$A$6:$P$13,5,FALSE)</f>
        <v>464.4</v>
      </c>
      <c r="G33" s="98">
        <f>VLOOKUP($B33,'CAM est 2017'!$A$6:$P$13,5,FALSE)</f>
        <v>464.4</v>
      </c>
      <c r="H33" s="98">
        <f>VLOOKUP($B33,'CAM est 2017'!$A$6:$P$13,5,FALSE)</f>
        <v>464.4</v>
      </c>
      <c r="I33" s="98">
        <f>VLOOKUP($B33,'CAM est 2017'!$A$6:$P$13,5,FALSE)</f>
        <v>464.4</v>
      </c>
      <c r="J33" s="98">
        <f>VLOOKUP($B33,'CAM est 2017'!$A$6:$P$13,5,FALSE)</f>
        <v>464.4</v>
      </c>
      <c r="K33" s="98">
        <f>VLOOKUP($B33,'CAM est 2017'!$A$6:$P$13,5,FALSE)</f>
        <v>464.4</v>
      </c>
      <c r="L33" s="98">
        <f>VLOOKUP($B33,'CAM est 2017'!$A$6:$P$13,5,FALSE)</f>
        <v>464.4</v>
      </c>
      <c r="M33" s="98">
        <f>VLOOKUP($B33,'CAM est 2017'!$A$6:$P$13,5,FALSE)</f>
        <v>464.4</v>
      </c>
      <c r="N33" s="98">
        <f>VLOOKUP($B33,'CAM est 2017'!$A$6:$P$13,5,FALSE)</f>
        <v>464.4</v>
      </c>
      <c r="O33" s="98">
        <f>VLOOKUP($B33,'CAM est 2017'!$A$6:$P$13,5,FALSE)</f>
        <v>464.4</v>
      </c>
      <c r="P33" s="98">
        <f t="shared" si="3"/>
        <v>5572.7999999999993</v>
      </c>
      <c r="Q33" s="98">
        <f t="shared" si="1"/>
        <v>-1517.2000000000007</v>
      </c>
      <c r="R33" s="153">
        <f t="shared" si="2"/>
        <v>-0.21399153737658685</v>
      </c>
    </row>
    <row r="34" spans="1:18" x14ac:dyDescent="0.25">
      <c r="A34" s="1" t="s">
        <v>17</v>
      </c>
      <c r="B34" s="5" t="s">
        <v>18</v>
      </c>
      <c r="C34" s="104">
        <f>SUM(C35:C36)</f>
        <v>3743</v>
      </c>
      <c r="D34" s="104">
        <f>SUM(D35:D36)</f>
        <v>310.24</v>
      </c>
      <c r="E34" s="104">
        <f t="shared" ref="E34:P34" si="4">SUM(E35:E36)</f>
        <v>310.24</v>
      </c>
      <c r="F34" s="104">
        <f t="shared" si="4"/>
        <v>310.24</v>
      </c>
      <c r="G34" s="104">
        <f t="shared" si="4"/>
        <v>310.24</v>
      </c>
      <c r="H34" s="104">
        <f t="shared" si="4"/>
        <v>310.24</v>
      </c>
      <c r="I34" s="104">
        <f t="shared" si="4"/>
        <v>310.24</v>
      </c>
      <c r="J34" s="104">
        <f t="shared" si="4"/>
        <v>310.24</v>
      </c>
      <c r="K34" s="104">
        <f t="shared" si="4"/>
        <v>310.24</v>
      </c>
      <c r="L34" s="104">
        <f t="shared" si="4"/>
        <v>310.24</v>
      </c>
      <c r="M34" s="104">
        <f t="shared" si="4"/>
        <v>310.24</v>
      </c>
      <c r="N34" s="104">
        <f t="shared" si="4"/>
        <v>310.24</v>
      </c>
      <c r="O34" s="104">
        <f t="shared" si="4"/>
        <v>310.24</v>
      </c>
      <c r="P34" s="104">
        <f t="shared" si="4"/>
        <v>3722.88</v>
      </c>
      <c r="Q34" s="104">
        <f t="shared" si="1"/>
        <v>-20.119999999999891</v>
      </c>
      <c r="R34" s="153">
        <f t="shared" si="2"/>
        <v>-5.3753673523911014E-3</v>
      </c>
    </row>
    <row r="35" spans="1:18" outlineLevel="1" x14ac:dyDescent="0.25">
      <c r="A35" s="166"/>
      <c r="B35" s="54" t="s">
        <v>496</v>
      </c>
      <c r="C35" s="98">
        <v>2221</v>
      </c>
      <c r="D35" s="98">
        <f>VLOOKUP($B$35,'Ins 2016'!$A$6:$P$12,5,FALSE)</f>
        <v>207.41</v>
      </c>
      <c r="E35" s="98">
        <f>VLOOKUP($B$35,'Ins 2016'!$A$6:$P$12,5,FALSE)</f>
        <v>207.41</v>
      </c>
      <c r="F35" s="98">
        <f>VLOOKUP($B$35,'Ins 2016'!$A$6:$P$12,5,FALSE)</f>
        <v>207.41</v>
      </c>
      <c r="G35" s="98">
        <f>VLOOKUP($B$35,'Ins 2016'!$A$6:$P$12,5,FALSE)</f>
        <v>207.41</v>
      </c>
      <c r="H35" s="98">
        <f>VLOOKUP($B$35,'Ins 2016'!$A$6:$P$12,5,FALSE)</f>
        <v>207.41</v>
      </c>
      <c r="I35" s="98">
        <f>VLOOKUP($B$35,'Ins 2016'!$A$6:$P$12,5,FALSE)</f>
        <v>207.41</v>
      </c>
      <c r="J35" s="98">
        <f>VLOOKUP($B$35,'Ins 2016'!$A$6:$P$12,5,FALSE)</f>
        <v>207.41</v>
      </c>
      <c r="K35" s="98">
        <f>VLOOKUP($B$35,'Ins 2016'!$A$6:$P$12,5,FALSE)</f>
        <v>207.41</v>
      </c>
      <c r="L35" s="98">
        <f>VLOOKUP($B$35,'Ins 2016'!$A$6:$P$12,5,FALSE)</f>
        <v>207.41</v>
      </c>
      <c r="M35" s="98">
        <f>VLOOKUP($B$35,'Ins 2016'!$A$6:$P$12,5,FALSE)</f>
        <v>207.41</v>
      </c>
      <c r="N35" s="98">
        <f>VLOOKUP($B$35,'Ins 2016'!$A$6:$P$12,5,FALSE)</f>
        <v>207.41</v>
      </c>
      <c r="O35" s="98">
        <f>VLOOKUP($B$35,'Ins 2016'!$A$6:$P$12,5,FALSE)</f>
        <v>207.41</v>
      </c>
      <c r="P35" s="98">
        <f t="shared" si="3"/>
        <v>2488.92</v>
      </c>
      <c r="Q35" s="98">
        <f t="shared" si="1"/>
        <v>267.92000000000007</v>
      </c>
      <c r="R35" s="153">
        <f t="shared" si="2"/>
        <v>0.1206303466906799</v>
      </c>
    </row>
    <row r="36" spans="1:18" outlineLevel="1" x14ac:dyDescent="0.25">
      <c r="A36" s="166"/>
      <c r="B36" s="54" t="s">
        <v>497</v>
      </c>
      <c r="C36" s="98">
        <v>1522</v>
      </c>
      <c r="D36" s="98">
        <f>VLOOKUP($B$36,'Ins 2016'!$A$6:$P$12,5,FALSE)</f>
        <v>102.83</v>
      </c>
      <c r="E36" s="98">
        <f>VLOOKUP($B$36,'Ins 2016'!$A$6:$P$12,5,FALSE)</f>
        <v>102.83</v>
      </c>
      <c r="F36" s="98">
        <f>VLOOKUP($B$36,'Ins 2016'!$A$6:$P$12,5,FALSE)</f>
        <v>102.83</v>
      </c>
      <c r="G36" s="98">
        <f>VLOOKUP($B$36,'Ins 2016'!$A$6:$P$12,5,FALSE)</f>
        <v>102.83</v>
      </c>
      <c r="H36" s="98">
        <f>VLOOKUP($B$36,'Ins 2016'!$A$6:$P$12,5,FALSE)</f>
        <v>102.83</v>
      </c>
      <c r="I36" s="98">
        <f>VLOOKUP($B$36,'Ins 2016'!$A$6:$P$12,5,FALSE)</f>
        <v>102.83</v>
      </c>
      <c r="J36" s="98">
        <f>VLOOKUP($B$36,'Ins 2016'!$A$6:$P$12,5,FALSE)</f>
        <v>102.83</v>
      </c>
      <c r="K36" s="98">
        <f>VLOOKUP($B$36,'Ins 2016'!$A$6:$P$12,5,FALSE)</f>
        <v>102.83</v>
      </c>
      <c r="L36" s="98">
        <f>VLOOKUP($B$36,'Ins 2016'!$A$6:$P$12,5,FALSE)</f>
        <v>102.83</v>
      </c>
      <c r="M36" s="98">
        <f>VLOOKUP($B$36,'Ins 2016'!$A$6:$P$12,5,FALSE)</f>
        <v>102.83</v>
      </c>
      <c r="N36" s="98">
        <f>VLOOKUP($B$36,'Ins 2016'!$A$6:$P$12,5,FALSE)</f>
        <v>102.83</v>
      </c>
      <c r="O36" s="98">
        <f>VLOOKUP($B$36,'Ins 2016'!$A$6:$P$12,5,FALSE)</f>
        <v>102.83</v>
      </c>
      <c r="P36" s="98">
        <f t="shared" si="3"/>
        <v>1233.96</v>
      </c>
      <c r="Q36" s="98">
        <f t="shared" si="1"/>
        <v>-288.03999999999996</v>
      </c>
      <c r="R36" s="153">
        <f t="shared" si="2"/>
        <v>-0.18925098554533507</v>
      </c>
    </row>
    <row r="37" spans="1:18" x14ac:dyDescent="0.25">
      <c r="A37" s="1" t="s">
        <v>19</v>
      </c>
      <c r="B37" s="5" t="s">
        <v>20</v>
      </c>
      <c r="C37" s="104">
        <f>SUM(C38:C45)</f>
        <v>165334</v>
      </c>
      <c r="D37" s="104">
        <f>ROUNDDOWN(SUM(D38:D45),0)</f>
        <v>33269</v>
      </c>
      <c r="E37" s="104">
        <f>ROUNDDOWN(SUM(E38:E45),0)</f>
        <v>3407</v>
      </c>
      <c r="F37" s="104">
        <f>ROUNDDOWN(SUM(F38:F45),0)</f>
        <v>3407</v>
      </c>
      <c r="G37" s="104">
        <f>ROUNDDOWN(SUM(G38:G45),0)</f>
        <v>33269</v>
      </c>
      <c r="H37" s="104">
        <f>ROUNDDOWN(SUM(H38:H45),0)</f>
        <v>3407</v>
      </c>
      <c r="I37" s="104">
        <f>ROUNDDOWN(SUM(I38:I45),0)</f>
        <v>3407</v>
      </c>
      <c r="J37" s="104">
        <f>ROUNDDOWN(SUM(J38:J45),0)</f>
        <v>33269</v>
      </c>
      <c r="K37" s="104">
        <f>ROUNDDOWN(SUM(K38:K45),0)</f>
        <v>3407</v>
      </c>
      <c r="L37" s="104">
        <f>ROUNDDOWN(SUM(L38:L45),0)</f>
        <v>3407</v>
      </c>
      <c r="M37" s="104">
        <f>ROUNDDOWN(SUM(M38:M45),0)</f>
        <v>33269</v>
      </c>
      <c r="N37" s="104">
        <f>ROUNDDOWN(SUM(N38:N45),0)</f>
        <v>3407</v>
      </c>
      <c r="O37" s="104">
        <f>ROUNDDOWN(SUM(O38:O45),0)</f>
        <v>3407</v>
      </c>
      <c r="P37" s="104">
        <f>ROUND(SUM(P38:P45),0)</f>
        <v>160338</v>
      </c>
      <c r="Q37" s="104">
        <f t="shared" si="1"/>
        <v>-4996</v>
      </c>
      <c r="R37" s="153">
        <f t="shared" si="2"/>
        <v>-3.0217620090241572E-2</v>
      </c>
    </row>
    <row r="38" spans="1:18" outlineLevel="1" x14ac:dyDescent="0.25">
      <c r="A38" s="1"/>
      <c r="B38" s="31" t="s">
        <v>491</v>
      </c>
      <c r="C38" s="98">
        <v>95294</v>
      </c>
      <c r="D38" s="98">
        <f>VLOOKUP($B38,'RETaxes 2017'!$A$6:$Q$13,5,FALSE)</f>
        <v>24177.182355000004</v>
      </c>
      <c r="E38" s="98">
        <f>VLOOKUP($B38,'RETaxes 2017'!$A$6:$Q$13,6,FALSE)</f>
        <v>0</v>
      </c>
      <c r="F38" s="98">
        <f>VLOOKUP($B38,'RETaxes 2017'!$A$6:$Q$13,7,FALSE)</f>
        <v>0</v>
      </c>
      <c r="G38" s="98">
        <f>VLOOKUP($B38,'RETaxes 2017'!$A$6:$Q$13,8,FALSE)</f>
        <v>24177.182355000004</v>
      </c>
      <c r="H38" s="98">
        <f>VLOOKUP($B38,'RETaxes 2017'!$A$6:$Q$13,9,FALSE)</f>
        <v>0</v>
      </c>
      <c r="I38" s="98">
        <f>VLOOKUP($B38,'RETaxes 2017'!$A$6:$Q$13,10,FALSE)</f>
        <v>0</v>
      </c>
      <c r="J38" s="98">
        <f>VLOOKUP($B38,'RETaxes 2017'!$A$6:$Q$13,11,FALSE)</f>
        <v>24177.182355000004</v>
      </c>
      <c r="K38" s="98">
        <f>VLOOKUP($B38,'RETaxes 2017'!$A$6:$Q$13,12,FALSE)</f>
        <v>0</v>
      </c>
      <c r="L38" s="98">
        <f>VLOOKUP($B38,'RETaxes 2017'!$A$6:$Q$13,13,FALSE)</f>
        <v>0</v>
      </c>
      <c r="M38" s="98">
        <f>VLOOKUP($B38,'RETaxes 2017'!$A$6:$Q$13,14,FALSE)</f>
        <v>24177.182355000004</v>
      </c>
      <c r="N38" s="98">
        <f>VLOOKUP($B38,'RETaxes 2017'!$A$6:$Q$13,15,FALSE)</f>
        <v>0</v>
      </c>
      <c r="O38" s="98">
        <f>VLOOKUP($B38,'RETaxes 2017'!$A$6:$Q$13,16,FALSE)</f>
        <v>0</v>
      </c>
      <c r="P38" s="98">
        <f t="shared" ref="P38:P45" si="5">SUM(D38:O38)</f>
        <v>96708.729420000018</v>
      </c>
      <c r="Q38" s="98">
        <f t="shared" si="1"/>
        <v>1414.7294200000179</v>
      </c>
      <c r="R38" s="153">
        <f t="shared" si="2"/>
        <v>1.4845944340672212E-2</v>
      </c>
    </row>
    <row r="39" spans="1:18" outlineLevel="1" x14ac:dyDescent="0.25">
      <c r="A39" s="7"/>
      <c r="B39" s="31" t="s">
        <v>492</v>
      </c>
      <c r="C39" s="98">
        <v>9461</v>
      </c>
      <c r="D39" s="98">
        <f>VLOOKUP($B39,'RETaxes 2017'!$A$6:$Q$13,5,FALSE)</f>
        <v>2400.3080985000001</v>
      </c>
      <c r="E39" s="98">
        <f>VLOOKUP($B39,'RETaxes 2017'!$A$6:$Q$13,6,FALSE)</f>
        <v>0</v>
      </c>
      <c r="F39" s="98">
        <f>VLOOKUP($B39,'RETaxes 2017'!$A$6:$Q$13,7,FALSE)</f>
        <v>0</v>
      </c>
      <c r="G39" s="98">
        <f>VLOOKUP($B39,'RETaxes 2017'!$A$6:$Q$13,8,FALSE)</f>
        <v>2400.3080985000001</v>
      </c>
      <c r="H39" s="98">
        <f>VLOOKUP($B39,'RETaxes 2017'!$A$6:$Q$13,9,FALSE)</f>
        <v>0</v>
      </c>
      <c r="I39" s="98">
        <f>VLOOKUP($B39,'RETaxes 2017'!$A$6:$Q$13,10,FALSE)</f>
        <v>0</v>
      </c>
      <c r="J39" s="98">
        <f>VLOOKUP($B39,'RETaxes 2017'!$A$6:$Q$13,11,FALSE)</f>
        <v>2400.3080985000001</v>
      </c>
      <c r="K39" s="98">
        <f>VLOOKUP($B39,'RETaxes 2017'!$A$6:$Q$13,12,FALSE)</f>
        <v>0</v>
      </c>
      <c r="L39" s="98">
        <f>VLOOKUP($B39,'RETaxes 2017'!$A$6:$Q$13,13,FALSE)</f>
        <v>0</v>
      </c>
      <c r="M39" s="98">
        <f>VLOOKUP($B39,'RETaxes 2017'!$A$6:$Q$13,14,FALSE)</f>
        <v>2400.3080985000001</v>
      </c>
      <c r="N39" s="98">
        <f>VLOOKUP($B39,'RETaxes 2017'!$A$6:$Q$13,15,FALSE)</f>
        <v>0</v>
      </c>
      <c r="O39" s="98">
        <f>VLOOKUP($B39,'RETaxes 2017'!$A$6:$Q$13,16,FALSE)</f>
        <v>0</v>
      </c>
      <c r="P39" s="98">
        <f t="shared" si="5"/>
        <v>9601.2323940000006</v>
      </c>
      <c r="Q39" s="98">
        <f t="shared" si="1"/>
        <v>140.23239400000057</v>
      </c>
      <c r="R39" s="153">
        <f t="shared" si="2"/>
        <v>1.4822153472148882E-2</v>
      </c>
    </row>
    <row r="40" spans="1:18" outlineLevel="1" x14ac:dyDescent="0.25">
      <c r="A40" s="7"/>
      <c r="B40" s="31" t="s">
        <v>493</v>
      </c>
      <c r="C40" s="98">
        <v>5362</v>
      </c>
      <c r="D40" s="98">
        <f>VLOOKUP($B40,'RETaxes 2017'!$A$6:$Q$13,5,FALSE)</f>
        <v>1360.2814934999999</v>
      </c>
      <c r="E40" s="98">
        <f>VLOOKUP($B40,'RETaxes 2017'!$A$6:$Q$13,6,FALSE)</f>
        <v>0</v>
      </c>
      <c r="F40" s="98">
        <f>VLOOKUP($B40,'RETaxes 2017'!$A$6:$Q$13,7,FALSE)</f>
        <v>0</v>
      </c>
      <c r="G40" s="98">
        <f>VLOOKUP($B40,'RETaxes 2017'!$A$6:$Q$13,8,FALSE)</f>
        <v>1360.2814934999999</v>
      </c>
      <c r="H40" s="98">
        <f>VLOOKUP($B40,'RETaxes 2017'!$A$6:$Q$13,9,FALSE)</f>
        <v>0</v>
      </c>
      <c r="I40" s="98">
        <f>VLOOKUP($B40,'RETaxes 2017'!$A$6:$Q$13,10,FALSE)</f>
        <v>0</v>
      </c>
      <c r="J40" s="98">
        <f>VLOOKUP($B40,'RETaxes 2017'!$A$6:$Q$13,11,FALSE)</f>
        <v>1360.2814934999999</v>
      </c>
      <c r="K40" s="98">
        <f>VLOOKUP($B40,'RETaxes 2017'!$A$6:$Q$13,12,FALSE)</f>
        <v>0</v>
      </c>
      <c r="L40" s="98">
        <f>VLOOKUP($B40,'RETaxes 2017'!$A$6:$Q$13,13,FALSE)</f>
        <v>0</v>
      </c>
      <c r="M40" s="98">
        <f>VLOOKUP($B40,'RETaxes 2017'!$A$6:$Q$13,14,FALSE)</f>
        <v>1360.2814934999999</v>
      </c>
      <c r="N40" s="98">
        <f>VLOOKUP($B40,'RETaxes 2017'!$A$6:$Q$13,15,FALSE)</f>
        <v>0</v>
      </c>
      <c r="O40" s="98">
        <f>VLOOKUP($B40,'RETaxes 2017'!$A$6:$Q$13,16,FALSE)</f>
        <v>0</v>
      </c>
      <c r="P40" s="98">
        <f t="shared" si="5"/>
        <v>5441.1259739999996</v>
      </c>
      <c r="Q40" s="98">
        <f t="shared" si="1"/>
        <v>79.125973999999587</v>
      </c>
      <c r="R40" s="153">
        <f t="shared" si="2"/>
        <v>1.475680231256986E-2</v>
      </c>
    </row>
    <row r="41" spans="1:18" outlineLevel="1" x14ac:dyDescent="0.25">
      <c r="A41" s="7"/>
      <c r="B41" s="31" t="s">
        <v>494</v>
      </c>
      <c r="C41" s="98">
        <v>6743</v>
      </c>
      <c r="D41" s="98">
        <f>VLOOKUP($B41,'RETaxes 2017'!$A$6:$Q$13,5,FALSE)</f>
        <v>0</v>
      </c>
      <c r="E41" s="98">
        <f>VLOOKUP($B41,'RETaxes 2017'!$A$6:$Q$13,6,FALSE)</f>
        <v>0</v>
      </c>
      <c r="F41" s="98">
        <f>VLOOKUP($B41,'RETaxes 2017'!$A$6:$Q$13,7,FALSE)</f>
        <v>0</v>
      </c>
      <c r="G41" s="98">
        <f>VLOOKUP($B41,'RETaxes 2017'!$A$6:$Q$13,8,FALSE)</f>
        <v>0</v>
      </c>
      <c r="H41" s="98">
        <f>VLOOKUP($B41,'RETaxes 2017'!$A$6:$Q$13,9,FALSE)</f>
        <v>0</v>
      </c>
      <c r="I41" s="98">
        <f>VLOOKUP($B41,'RETaxes 2017'!$A$6:$Q$13,10,FALSE)</f>
        <v>0</v>
      </c>
      <c r="J41" s="98">
        <f>VLOOKUP($B41,'RETaxes 2017'!$A$6:$Q$13,11,FALSE)</f>
        <v>0</v>
      </c>
      <c r="K41" s="98">
        <f>VLOOKUP($B41,'RETaxes 2017'!$A$6:$Q$13,12,FALSE)</f>
        <v>0</v>
      </c>
      <c r="L41" s="98">
        <f>VLOOKUP($B41,'RETaxes 2017'!$A$6:$Q$13,13,FALSE)</f>
        <v>0</v>
      </c>
      <c r="M41" s="98">
        <f>VLOOKUP($B41,'RETaxes 2017'!$A$6:$Q$13,14,FALSE)</f>
        <v>0</v>
      </c>
      <c r="N41" s="98">
        <f>VLOOKUP($B41,'RETaxes 2017'!$A$6:$Q$13,15,FALSE)</f>
        <v>0</v>
      </c>
      <c r="O41" s="98">
        <f>VLOOKUP($B41,'RETaxes 2017'!$A$6:$Q$13,16,FALSE)</f>
        <v>0</v>
      </c>
      <c r="P41" s="98">
        <f t="shared" si="5"/>
        <v>0</v>
      </c>
      <c r="Q41" s="98">
        <f t="shared" si="1"/>
        <v>-6743</v>
      </c>
      <c r="R41" s="153">
        <f t="shared" si="2"/>
        <v>-1</v>
      </c>
    </row>
    <row r="42" spans="1:18" outlineLevel="1" x14ac:dyDescent="0.25">
      <c r="A42" s="7"/>
      <c r="B42" s="31" t="s">
        <v>495</v>
      </c>
      <c r="C42" s="98">
        <v>0</v>
      </c>
      <c r="D42" s="98">
        <f>VLOOKUP($B42,'RETaxes 2017'!$A$6:$Q$13,5,FALSE)</f>
        <v>0</v>
      </c>
      <c r="E42" s="98">
        <f>VLOOKUP($B42,'RETaxes 2017'!$A$6:$Q$13,6,FALSE)</f>
        <v>0</v>
      </c>
      <c r="F42" s="98">
        <f>VLOOKUP($B42,'RETaxes 2017'!$A$6:$Q$13,7,FALSE)</f>
        <v>0</v>
      </c>
      <c r="G42" s="98">
        <f>VLOOKUP($B42,'RETaxes 2017'!$A$6:$Q$13,8,FALSE)</f>
        <v>0</v>
      </c>
      <c r="H42" s="98">
        <f>VLOOKUP($B42,'RETaxes 2017'!$A$6:$Q$13,9,FALSE)</f>
        <v>0</v>
      </c>
      <c r="I42" s="98">
        <f>VLOOKUP($B42,'RETaxes 2017'!$A$6:$Q$13,10,FALSE)</f>
        <v>0</v>
      </c>
      <c r="J42" s="98">
        <f>VLOOKUP($B42,'RETaxes 2017'!$A$6:$Q$13,11,FALSE)</f>
        <v>0</v>
      </c>
      <c r="K42" s="98">
        <f>VLOOKUP($B42,'RETaxes 2017'!$A$6:$Q$13,12,FALSE)</f>
        <v>0</v>
      </c>
      <c r="L42" s="98">
        <f>VLOOKUP($B42,'RETaxes 2017'!$A$6:$Q$13,13,FALSE)</f>
        <v>0</v>
      </c>
      <c r="M42" s="98">
        <f>VLOOKUP($B42,'RETaxes 2017'!$A$6:$Q$13,14,FALSE)</f>
        <v>0</v>
      </c>
      <c r="N42" s="98">
        <f>VLOOKUP($B42,'RETaxes 2017'!$A$6:$Q$13,15,FALSE)</f>
        <v>0</v>
      </c>
      <c r="O42" s="98">
        <f>VLOOKUP($B42,'RETaxes 2017'!$A$6:$Q$13,16,FALSE)</f>
        <v>0</v>
      </c>
      <c r="P42" s="98">
        <f t="shared" si="5"/>
        <v>0</v>
      </c>
      <c r="Q42" s="98">
        <f t="shared" si="1"/>
        <v>0</v>
      </c>
      <c r="R42" s="153" t="str">
        <f t="shared" si="2"/>
        <v/>
      </c>
    </row>
    <row r="43" spans="1:18" outlineLevel="1" x14ac:dyDescent="0.25">
      <c r="A43" s="7"/>
      <c r="B43" s="31" t="s">
        <v>496</v>
      </c>
      <c r="C43" s="98">
        <v>13405</v>
      </c>
      <c r="D43" s="98">
        <f>VLOOKUP($B43,'RETaxes 2017'!$A$6:$Q$13,5,FALSE)</f>
        <v>1117.06</v>
      </c>
      <c r="E43" s="98">
        <f>VLOOKUP($B43,'RETaxes 2017'!$A$6:$Q$13,6,FALSE)</f>
        <v>1117.06</v>
      </c>
      <c r="F43" s="98">
        <f>VLOOKUP($B43,'RETaxes 2017'!$A$6:$Q$13,7,FALSE)</f>
        <v>1117.06</v>
      </c>
      <c r="G43" s="98">
        <f>VLOOKUP($B43,'RETaxes 2017'!$A$6:$Q$13,8,FALSE)</f>
        <v>1117.06</v>
      </c>
      <c r="H43" s="98">
        <f>VLOOKUP($B43,'RETaxes 2017'!$A$6:$Q$13,9,FALSE)</f>
        <v>1117.06</v>
      </c>
      <c r="I43" s="98">
        <f>VLOOKUP($B43,'RETaxes 2017'!$A$6:$Q$13,10,FALSE)</f>
        <v>1117.06</v>
      </c>
      <c r="J43" s="98">
        <f>VLOOKUP($B43,'RETaxes 2017'!$A$6:$Q$13,11,FALSE)</f>
        <v>1117.06</v>
      </c>
      <c r="K43" s="98">
        <f>VLOOKUP($B43,'RETaxes 2017'!$A$6:$Q$13,12,FALSE)</f>
        <v>1117.06</v>
      </c>
      <c r="L43" s="98">
        <f>VLOOKUP($B43,'RETaxes 2017'!$A$6:$Q$13,13,FALSE)</f>
        <v>1117.06</v>
      </c>
      <c r="M43" s="98">
        <f>VLOOKUP($B43,'RETaxes 2017'!$A$6:$Q$13,14,FALSE)</f>
        <v>1117.06</v>
      </c>
      <c r="N43" s="98">
        <f>VLOOKUP($B43,'RETaxes 2017'!$A$6:$Q$13,15,FALSE)</f>
        <v>1117.06</v>
      </c>
      <c r="O43" s="98">
        <f>VLOOKUP($B43,'RETaxes 2017'!$A$6:$Q$13,16,FALSE)</f>
        <v>1117.06</v>
      </c>
      <c r="P43" s="98">
        <f t="shared" si="5"/>
        <v>13404.719999999996</v>
      </c>
      <c r="Q43" s="98">
        <f t="shared" si="1"/>
        <v>-0.28000000000429281</v>
      </c>
      <c r="R43" s="153">
        <f t="shared" si="2"/>
        <v>-2.0887728459850267E-5</v>
      </c>
    </row>
    <row r="44" spans="1:18" outlineLevel="1" x14ac:dyDescent="0.25">
      <c r="A44" s="7"/>
      <c r="B44" s="31" t="s">
        <v>497</v>
      </c>
      <c r="C44" s="98">
        <v>27485</v>
      </c>
      <c r="D44" s="98">
        <f>VLOOKUP($B44,'RETaxes 2017'!$A$6:$Q$13,5,FALSE)</f>
        <v>2290.39</v>
      </c>
      <c r="E44" s="98">
        <f>VLOOKUP($B44,'RETaxes 2017'!$A$6:$Q$13,6,FALSE)</f>
        <v>2290.39</v>
      </c>
      <c r="F44" s="98">
        <f>VLOOKUP($B44,'RETaxes 2017'!$A$6:$Q$13,7,FALSE)</f>
        <v>2290.39</v>
      </c>
      <c r="G44" s="98">
        <f>VLOOKUP($B44,'RETaxes 2017'!$A$6:$Q$13,8,FALSE)</f>
        <v>2290.39</v>
      </c>
      <c r="H44" s="98">
        <f>VLOOKUP($B44,'RETaxes 2017'!$A$6:$Q$13,9,FALSE)</f>
        <v>2290.39</v>
      </c>
      <c r="I44" s="98">
        <f>VLOOKUP($B44,'RETaxes 2017'!$A$6:$Q$13,10,FALSE)</f>
        <v>2290.39</v>
      </c>
      <c r="J44" s="98">
        <f>VLOOKUP($B44,'RETaxes 2017'!$A$6:$Q$13,11,FALSE)</f>
        <v>2290.39</v>
      </c>
      <c r="K44" s="98">
        <f>VLOOKUP($B44,'RETaxes 2017'!$A$6:$Q$13,12,FALSE)</f>
        <v>2290.39</v>
      </c>
      <c r="L44" s="98">
        <f>VLOOKUP($B44,'RETaxes 2017'!$A$6:$Q$13,13,FALSE)</f>
        <v>2290.39</v>
      </c>
      <c r="M44" s="98">
        <f>VLOOKUP($B44,'RETaxes 2017'!$A$6:$Q$13,14,FALSE)</f>
        <v>2290.39</v>
      </c>
      <c r="N44" s="98">
        <f>VLOOKUP($B44,'RETaxes 2017'!$A$6:$Q$13,15,FALSE)</f>
        <v>2290.39</v>
      </c>
      <c r="O44" s="98">
        <f>VLOOKUP($B44,'RETaxes 2017'!$A$6:$Q$13,16,FALSE)</f>
        <v>2290.39</v>
      </c>
      <c r="P44" s="98">
        <f t="shared" si="5"/>
        <v>27484.679999999997</v>
      </c>
      <c r="Q44" s="98">
        <f t="shared" si="1"/>
        <v>-0.32000000000334694</v>
      </c>
      <c r="R44" s="153">
        <f t="shared" si="2"/>
        <v>-1.1642714207871455E-5</v>
      </c>
    </row>
    <row r="45" spans="1:18" outlineLevel="1" x14ac:dyDescent="0.25">
      <c r="A45" s="7"/>
      <c r="B45" s="31" t="s">
        <v>498</v>
      </c>
      <c r="C45" s="98">
        <v>7584</v>
      </c>
      <c r="D45" s="98">
        <f>VLOOKUP($B45,'RETaxes 2017'!$A$6:$Q$13,5,FALSE)</f>
        <v>1924.2783000000002</v>
      </c>
      <c r="E45" s="98">
        <f>VLOOKUP($B45,'RETaxes 2017'!$A$6:$Q$13,6,FALSE)</f>
        <v>0</v>
      </c>
      <c r="F45" s="98">
        <f>VLOOKUP($B45,'RETaxes 2017'!$A$6:$Q$13,7,FALSE)</f>
        <v>0</v>
      </c>
      <c r="G45" s="98">
        <f>VLOOKUP($B45,'RETaxes 2017'!$A$6:$Q$13,8,FALSE)</f>
        <v>1924.2783000000002</v>
      </c>
      <c r="H45" s="98">
        <f>VLOOKUP($B45,'RETaxes 2017'!$A$6:$Q$13,9,FALSE)</f>
        <v>0</v>
      </c>
      <c r="I45" s="98">
        <f>VLOOKUP($B45,'RETaxes 2017'!$A$6:$Q$13,10,FALSE)</f>
        <v>0</v>
      </c>
      <c r="J45" s="98">
        <f>VLOOKUP($B45,'RETaxes 2017'!$A$6:$Q$13,11,FALSE)</f>
        <v>1924.2783000000002</v>
      </c>
      <c r="K45" s="98">
        <f>VLOOKUP($B45,'RETaxes 2017'!$A$6:$Q$13,12,FALSE)</f>
        <v>0</v>
      </c>
      <c r="L45" s="98">
        <f>VLOOKUP($B45,'RETaxes 2017'!$A$6:$Q$13,13,FALSE)</f>
        <v>0</v>
      </c>
      <c r="M45" s="98">
        <f>VLOOKUP($B45,'RETaxes 2017'!$A$6:$Q$13,14,FALSE)</f>
        <v>1924.2783000000002</v>
      </c>
      <c r="N45" s="98">
        <f>VLOOKUP($B45,'RETaxes 2017'!$A$6:$Q$13,15,FALSE)</f>
        <v>0</v>
      </c>
      <c r="O45" s="98">
        <f>VLOOKUP($B45,'RETaxes 2017'!$A$6:$Q$13,16,FALSE)</f>
        <v>0</v>
      </c>
      <c r="P45" s="98">
        <f t="shared" si="5"/>
        <v>7697.1132000000007</v>
      </c>
      <c r="Q45" s="98">
        <f t="shared" si="1"/>
        <v>113.11320000000069</v>
      </c>
      <c r="R45" s="153">
        <f t="shared" si="2"/>
        <v>1.4914715189873508E-2</v>
      </c>
    </row>
    <row r="46" spans="1:18" x14ac:dyDescent="0.25">
      <c r="A46" s="1" t="s">
        <v>21</v>
      </c>
      <c r="B46" s="5" t="s">
        <v>22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>
        <v>0</v>
      </c>
      <c r="Q46" s="98" t="str">
        <f t="shared" si="1"/>
        <v/>
      </c>
      <c r="R46" s="153" t="str">
        <f t="shared" si="2"/>
        <v/>
      </c>
    </row>
    <row r="47" spans="1:18" x14ac:dyDescent="0.25">
      <c r="A47" s="1" t="s">
        <v>23</v>
      </c>
      <c r="B47" s="5" t="s">
        <v>24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>
        <v>0</v>
      </c>
      <c r="Q47" s="98" t="str">
        <f t="shared" si="1"/>
        <v/>
      </c>
      <c r="R47" s="153" t="str">
        <f t="shared" si="2"/>
        <v/>
      </c>
    </row>
    <row r="48" spans="1:18" x14ac:dyDescent="0.25">
      <c r="A48" s="1" t="s">
        <v>25</v>
      </c>
      <c r="B48" s="5" t="s">
        <v>26</v>
      </c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>
        <v>0</v>
      </c>
      <c r="Q48" s="98" t="str">
        <f t="shared" si="1"/>
        <v/>
      </c>
      <c r="R48" s="153" t="str">
        <f t="shared" si="2"/>
        <v/>
      </c>
    </row>
    <row r="49" spans="1:18" ht="15.75" thickBot="1" x14ac:dyDescent="0.3">
      <c r="A49" s="1" t="s">
        <v>27</v>
      </c>
      <c r="B49" s="5" t="s">
        <v>28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>
        <v>0</v>
      </c>
      <c r="Q49" s="98" t="str">
        <f t="shared" si="1"/>
        <v/>
      </c>
      <c r="R49" s="153" t="str">
        <f t="shared" si="2"/>
        <v/>
      </c>
    </row>
    <row r="50" spans="1:18" s="91" customFormat="1" x14ac:dyDescent="0.25">
      <c r="A50" s="6" t="s">
        <v>29</v>
      </c>
      <c r="B50" s="3" t="s">
        <v>30</v>
      </c>
      <c r="C50" s="100">
        <f>SUM(C46:C49,C37,C34,C25,C24)</f>
        <v>323622</v>
      </c>
      <c r="D50" s="100">
        <f>SUM(D46:D49,D37,D34,D25,D24)</f>
        <v>40387.24</v>
      </c>
      <c r="E50" s="100">
        <f>SUM(E46:E49,E37,E34,E25,E24)</f>
        <v>10525.24</v>
      </c>
      <c r="F50" s="100">
        <f>SUM(F46:F49,F37,F34,F25,F24)</f>
        <v>10525.24</v>
      </c>
      <c r="G50" s="100">
        <f>SUM(G46:G49,G37,G34,G25,G24)</f>
        <v>40387.24</v>
      </c>
      <c r="H50" s="100">
        <f>SUM(H46:H49,H37,H34,H25,H24)</f>
        <v>10525.24</v>
      </c>
      <c r="I50" s="100">
        <f>SUM(I46:I49,I37,I34,I25,I24)</f>
        <v>10525.24</v>
      </c>
      <c r="J50" s="100">
        <f>SUM(J46:J49,J37,J34,J25,J24)</f>
        <v>40387.24</v>
      </c>
      <c r="K50" s="100">
        <f>SUM(K46:K49,K37,K34,K25,K24)</f>
        <v>10525.24</v>
      </c>
      <c r="L50" s="100">
        <f>SUM(L46:L49,L37,L34,L25,L24)</f>
        <v>10525.24</v>
      </c>
      <c r="M50" s="100">
        <f>SUM(M46:M49,M37,M34,M25,M24)</f>
        <v>40387.24</v>
      </c>
      <c r="N50" s="100">
        <f>SUM(N46:N49,N37,N34,N25,N24)</f>
        <v>10525.24</v>
      </c>
      <c r="O50" s="100">
        <f>SUM(O46:O49,O37,O34,O25,O24)</f>
        <v>10525.24</v>
      </c>
      <c r="P50" s="100">
        <f>SUM(P46:P49,P37,P34,P25,P24)</f>
        <v>245755.88</v>
      </c>
      <c r="Q50" s="100">
        <f t="shared" si="1"/>
        <v>-77866.12</v>
      </c>
      <c r="R50" s="153">
        <f t="shared" si="2"/>
        <v>-0.24060824047808863</v>
      </c>
    </row>
    <row r="51" spans="1:18" x14ac:dyDescent="0.25">
      <c r="A51" s="1"/>
      <c r="B51" s="5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 t="str">
        <f t="shared" si="1"/>
        <v/>
      </c>
      <c r="R51" s="153" t="str">
        <f t="shared" si="2"/>
        <v/>
      </c>
    </row>
    <row r="52" spans="1:18" x14ac:dyDescent="0.25">
      <c r="A52" s="1" t="s">
        <v>31</v>
      </c>
      <c r="B52" s="5" t="s">
        <v>32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 t="str">
        <f t="shared" si="1"/>
        <v/>
      </c>
      <c r="R52" s="153" t="str">
        <f t="shared" si="2"/>
        <v/>
      </c>
    </row>
    <row r="53" spans="1:18" x14ac:dyDescent="0.25">
      <c r="A53" s="1" t="s">
        <v>33</v>
      </c>
      <c r="B53" s="5" t="s">
        <v>34</v>
      </c>
      <c r="C53" s="98">
        <v>0</v>
      </c>
      <c r="D53" s="98">
        <v>0</v>
      </c>
      <c r="E53" s="98">
        <v>0</v>
      </c>
      <c r="F53" s="98">
        <v>0</v>
      </c>
      <c r="G53" s="98">
        <v>0</v>
      </c>
      <c r="H53" s="98">
        <v>0</v>
      </c>
      <c r="I53" s="98">
        <v>0</v>
      </c>
      <c r="J53" s="98">
        <v>0</v>
      </c>
      <c r="K53" s="98">
        <v>0</v>
      </c>
      <c r="L53" s="98">
        <v>0</v>
      </c>
      <c r="M53" s="98">
        <v>0</v>
      </c>
      <c r="N53" s="98">
        <v>0</v>
      </c>
      <c r="O53" s="98">
        <v>0</v>
      </c>
      <c r="P53" s="98">
        <f>SUM(D53:O53)</f>
        <v>0</v>
      </c>
      <c r="Q53" s="98">
        <f t="shared" si="1"/>
        <v>0</v>
      </c>
      <c r="R53" s="153" t="str">
        <f t="shared" si="2"/>
        <v/>
      </c>
    </row>
    <row r="54" spans="1:18" x14ac:dyDescent="0.25">
      <c r="A54" s="1" t="s">
        <v>35</v>
      </c>
      <c r="B54" s="5" t="s">
        <v>36</v>
      </c>
      <c r="C54" s="98">
        <v>0</v>
      </c>
      <c r="D54" s="98">
        <v>0</v>
      </c>
      <c r="E54" s="98">
        <v>0</v>
      </c>
      <c r="F54" s="98">
        <v>0</v>
      </c>
      <c r="G54" s="98">
        <v>0</v>
      </c>
      <c r="H54" s="98">
        <v>0</v>
      </c>
      <c r="I54" s="98">
        <v>0</v>
      </c>
      <c r="J54" s="98">
        <v>0</v>
      </c>
      <c r="K54" s="98">
        <v>0</v>
      </c>
      <c r="L54" s="98">
        <v>0</v>
      </c>
      <c r="M54" s="98">
        <v>0</v>
      </c>
      <c r="N54" s="98">
        <v>0</v>
      </c>
      <c r="O54" s="98">
        <v>0</v>
      </c>
      <c r="P54" s="98">
        <f>SUM(D54:O54)</f>
        <v>0</v>
      </c>
      <c r="Q54" s="98">
        <f t="shared" si="1"/>
        <v>0</v>
      </c>
      <c r="R54" s="153" t="str">
        <f t="shared" si="2"/>
        <v/>
      </c>
    </row>
    <row r="55" spans="1:18" x14ac:dyDescent="0.25">
      <c r="A55" s="1"/>
      <c r="B55" s="5" t="s">
        <v>373</v>
      </c>
      <c r="C55" s="98">
        <v>0</v>
      </c>
      <c r="D55" s="98">
        <v>0</v>
      </c>
      <c r="E55" s="98">
        <v>0</v>
      </c>
      <c r="F55" s="98">
        <v>0</v>
      </c>
      <c r="G55" s="98">
        <v>0</v>
      </c>
      <c r="H55" s="98">
        <v>0</v>
      </c>
      <c r="I55" s="98">
        <v>0</v>
      </c>
      <c r="J55" s="98">
        <v>0</v>
      </c>
      <c r="K55" s="98">
        <v>0</v>
      </c>
      <c r="L55" s="98">
        <v>0</v>
      </c>
      <c r="M55" s="98">
        <v>0</v>
      </c>
      <c r="N55" s="98">
        <v>0</v>
      </c>
      <c r="O55" s="98">
        <v>0</v>
      </c>
      <c r="P55" s="98">
        <f>SUM(D55:O55)</f>
        <v>0</v>
      </c>
      <c r="Q55" s="98">
        <f t="shared" si="1"/>
        <v>0</v>
      </c>
      <c r="R55" s="153" t="str">
        <f t="shared" si="2"/>
        <v/>
      </c>
    </row>
    <row r="56" spans="1:18" x14ac:dyDescent="0.25">
      <c r="A56" s="1"/>
      <c r="B56" s="5" t="s">
        <v>372</v>
      </c>
      <c r="C56" s="98">
        <v>0</v>
      </c>
      <c r="D56" s="98">
        <v>0</v>
      </c>
      <c r="E56" s="98">
        <v>0</v>
      </c>
      <c r="F56" s="98">
        <v>0</v>
      </c>
      <c r="G56" s="98">
        <v>0</v>
      </c>
      <c r="H56" s="98">
        <v>0</v>
      </c>
      <c r="I56" s="98">
        <v>0</v>
      </c>
      <c r="J56" s="98">
        <v>0</v>
      </c>
      <c r="K56" s="98">
        <v>0</v>
      </c>
      <c r="L56" s="98">
        <v>0</v>
      </c>
      <c r="M56" s="98">
        <v>0</v>
      </c>
      <c r="N56" s="98">
        <v>0</v>
      </c>
      <c r="O56" s="98">
        <v>0</v>
      </c>
      <c r="P56" s="98">
        <v>0</v>
      </c>
      <c r="Q56" s="98">
        <f t="shared" ref="Q56:Q125" si="6">IF(C56&lt;&gt;"",P56-C56,"")</f>
        <v>0</v>
      </c>
      <c r="R56" s="153" t="str">
        <f t="shared" ref="R56:R121" si="7">IF(C56&lt;&gt;0,Q56/C56,"")</f>
        <v/>
      </c>
    </row>
    <row r="57" spans="1:18" ht="15.75" thickBot="1" x14ac:dyDescent="0.3">
      <c r="A57" s="1"/>
      <c r="B57" s="5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 t="str">
        <f t="shared" si="6"/>
        <v/>
      </c>
      <c r="R57" s="153" t="str">
        <f t="shared" si="7"/>
        <v/>
      </c>
    </row>
    <row r="58" spans="1:18" s="91" customFormat="1" x14ac:dyDescent="0.25">
      <c r="A58" s="6" t="s">
        <v>37</v>
      </c>
      <c r="B58" s="3" t="s">
        <v>38</v>
      </c>
      <c r="C58" s="100">
        <f t="shared" ref="C58:O58" si="8">SUM(C53:C57)</f>
        <v>0</v>
      </c>
      <c r="D58" s="100">
        <f t="shared" si="8"/>
        <v>0</v>
      </c>
      <c r="E58" s="100">
        <f t="shared" si="8"/>
        <v>0</v>
      </c>
      <c r="F58" s="100">
        <f t="shared" si="8"/>
        <v>0</v>
      </c>
      <c r="G58" s="100">
        <f t="shared" si="8"/>
        <v>0</v>
      </c>
      <c r="H58" s="100">
        <f t="shared" si="8"/>
        <v>0</v>
      </c>
      <c r="I58" s="100">
        <f t="shared" si="8"/>
        <v>0</v>
      </c>
      <c r="J58" s="100">
        <f t="shared" si="8"/>
        <v>0</v>
      </c>
      <c r="K58" s="100">
        <f t="shared" si="8"/>
        <v>0</v>
      </c>
      <c r="L58" s="100">
        <f t="shared" si="8"/>
        <v>0</v>
      </c>
      <c r="M58" s="100">
        <f t="shared" si="8"/>
        <v>0</v>
      </c>
      <c r="N58" s="100">
        <f t="shared" si="8"/>
        <v>0</v>
      </c>
      <c r="O58" s="100">
        <f t="shared" si="8"/>
        <v>0</v>
      </c>
      <c r="P58" s="100">
        <f>SUM(P53:P57)</f>
        <v>0</v>
      </c>
      <c r="Q58" s="100">
        <f t="shared" si="6"/>
        <v>0</v>
      </c>
      <c r="R58" s="153" t="str">
        <f t="shared" si="7"/>
        <v/>
      </c>
    </row>
    <row r="59" spans="1:18" ht="15.75" thickBot="1" x14ac:dyDescent="0.3">
      <c r="A59" s="1"/>
      <c r="B59" s="5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 t="str">
        <f t="shared" si="6"/>
        <v/>
      </c>
      <c r="R59" s="153" t="str">
        <f t="shared" si="7"/>
        <v/>
      </c>
    </row>
    <row r="60" spans="1:18" s="91" customFormat="1" x14ac:dyDescent="0.25">
      <c r="A60" s="6" t="s">
        <v>39</v>
      </c>
      <c r="B60" s="3" t="s">
        <v>40</v>
      </c>
      <c r="C60" s="100">
        <f>SUM(C58,C50,C21)</f>
        <v>959991</v>
      </c>
      <c r="D60" s="100">
        <f>SUM(D58,D50,D21)</f>
        <v>92833.599999999991</v>
      </c>
      <c r="E60" s="100">
        <f>SUM(E58,E50,E21)</f>
        <v>62971.599999999991</v>
      </c>
      <c r="F60" s="100">
        <f>SUM(F58,F50,F21)</f>
        <v>64391.669999999991</v>
      </c>
      <c r="G60" s="100">
        <f>SUM(G58,G50,G21)</f>
        <v>94253.669999999984</v>
      </c>
      <c r="H60" s="100">
        <f>SUM(H58,H50,H21)</f>
        <v>64391.669999999991</v>
      </c>
      <c r="I60" s="100">
        <f>SUM(I58,I50,I21)</f>
        <v>64391.669999999991</v>
      </c>
      <c r="J60" s="100">
        <f>SUM(J58,J50,J21)</f>
        <v>94253.669999999984</v>
      </c>
      <c r="K60" s="100">
        <f>SUM(K58,K50,K21)</f>
        <v>64391.669999999991</v>
      </c>
      <c r="L60" s="100">
        <f>SUM(L58,L50,L21)</f>
        <v>64391.669999999991</v>
      </c>
      <c r="M60" s="100">
        <f>SUM(M58,M50,M21)</f>
        <v>94253.669999999984</v>
      </c>
      <c r="N60" s="100">
        <f>SUM(N58,N50,N21)</f>
        <v>64391.669999999991</v>
      </c>
      <c r="O60" s="100">
        <f>SUM(O58,O50,O21)</f>
        <v>64391.669999999991</v>
      </c>
      <c r="P60" s="100">
        <f>SUM(P58,P50,P21)</f>
        <v>889312.9</v>
      </c>
      <c r="Q60" s="100">
        <f t="shared" si="6"/>
        <v>-70678.099999999977</v>
      </c>
      <c r="R60" s="153">
        <f t="shared" si="7"/>
        <v>-7.3623711055624458E-2</v>
      </c>
    </row>
    <row r="61" spans="1:18" x14ac:dyDescent="0.25">
      <c r="A61" s="1"/>
      <c r="B61" s="5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 t="str">
        <f t="shared" si="6"/>
        <v/>
      </c>
      <c r="R61" s="153" t="str">
        <f t="shared" si="7"/>
        <v/>
      </c>
    </row>
    <row r="62" spans="1:18" x14ac:dyDescent="0.25">
      <c r="A62" s="1" t="s">
        <v>41</v>
      </c>
      <c r="B62" s="5" t="s">
        <v>42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 t="str">
        <f t="shared" si="6"/>
        <v/>
      </c>
      <c r="R62" s="153" t="str">
        <f t="shared" si="7"/>
        <v/>
      </c>
    </row>
    <row r="63" spans="1:18" x14ac:dyDescent="0.25">
      <c r="A63" s="1" t="s">
        <v>43</v>
      </c>
      <c r="B63" s="5" t="s">
        <v>44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 t="str">
        <f t="shared" si="6"/>
        <v/>
      </c>
      <c r="R63" s="153" t="str">
        <f t="shared" si="7"/>
        <v/>
      </c>
    </row>
    <row r="64" spans="1:18" x14ac:dyDescent="0.25">
      <c r="A64" s="1" t="s">
        <v>501</v>
      </c>
      <c r="B64" s="5" t="s">
        <v>502</v>
      </c>
      <c r="C64" s="99">
        <v>2016</v>
      </c>
      <c r="D64" s="99">
        <v>642</v>
      </c>
      <c r="E64" s="99">
        <v>642</v>
      </c>
      <c r="F64" s="99">
        <v>642</v>
      </c>
      <c r="G64" s="99">
        <v>642</v>
      </c>
      <c r="H64" s="99">
        <v>642</v>
      </c>
      <c r="I64" s="99">
        <v>642</v>
      </c>
      <c r="J64" s="99">
        <v>642</v>
      </c>
      <c r="K64" s="99">
        <v>642</v>
      </c>
      <c r="L64" s="99">
        <v>642</v>
      </c>
      <c r="M64" s="99">
        <v>642</v>
      </c>
      <c r="N64" s="99">
        <v>642</v>
      </c>
      <c r="O64" s="99">
        <v>642</v>
      </c>
      <c r="P64" s="98">
        <f>SUM(D64:O64)</f>
        <v>7704</v>
      </c>
      <c r="Q64" s="98">
        <f t="shared" si="6"/>
        <v>5688</v>
      </c>
      <c r="R64" s="153">
        <f t="shared" si="7"/>
        <v>2.8214285714285716</v>
      </c>
    </row>
    <row r="65" spans="1:25" x14ac:dyDescent="0.25">
      <c r="A65" s="166" t="s">
        <v>194</v>
      </c>
      <c r="B65" s="5" t="s">
        <v>193</v>
      </c>
      <c r="C65" s="99">
        <v>11770</v>
      </c>
      <c r="D65" s="99">
        <v>642</v>
      </c>
      <c r="E65" s="99">
        <v>642</v>
      </c>
      <c r="F65" s="99">
        <v>642</v>
      </c>
      <c r="G65" s="99">
        <v>642</v>
      </c>
      <c r="H65" s="99">
        <v>642</v>
      </c>
      <c r="I65" s="99">
        <v>642</v>
      </c>
      <c r="J65" s="99">
        <v>642</v>
      </c>
      <c r="K65" s="99">
        <v>642</v>
      </c>
      <c r="L65" s="99">
        <v>642</v>
      </c>
      <c r="M65" s="99">
        <v>642</v>
      </c>
      <c r="N65" s="99">
        <v>642</v>
      </c>
      <c r="O65" s="99">
        <v>642</v>
      </c>
      <c r="P65" s="98">
        <f>SUM(D65:O65)</f>
        <v>7704</v>
      </c>
      <c r="Q65" s="98">
        <f t="shared" ref="Q65" si="9">IF(C65&lt;&gt;"",P65-C65,"")</f>
        <v>-4066</v>
      </c>
      <c r="R65" s="153">
        <f t="shared" ref="R65" si="10">IF(C65&lt;&gt;0,Q65/C65,"")</f>
        <v>-0.34545454545454546</v>
      </c>
    </row>
    <row r="66" spans="1:25" x14ac:dyDescent="0.25">
      <c r="A66" s="1" t="s">
        <v>45</v>
      </c>
      <c r="B66" s="5" t="s">
        <v>46</v>
      </c>
      <c r="C66" s="99">
        <v>19786</v>
      </c>
      <c r="D66" s="99">
        <v>1431.92</v>
      </c>
      <c r="E66" s="99">
        <v>1431.92</v>
      </c>
      <c r="F66" s="99">
        <v>1431.92</v>
      </c>
      <c r="G66" s="99">
        <v>1431.92</v>
      </c>
      <c r="H66" s="99">
        <v>1431.92</v>
      </c>
      <c r="I66" s="99">
        <v>1431.92</v>
      </c>
      <c r="J66" s="99">
        <v>1431.92</v>
      </c>
      <c r="K66" s="99">
        <v>1431.92</v>
      </c>
      <c r="L66" s="99">
        <v>1431.92</v>
      </c>
      <c r="M66" s="99">
        <v>1431.92</v>
      </c>
      <c r="N66" s="99">
        <v>1431.92</v>
      </c>
      <c r="O66" s="99">
        <v>1431.92</v>
      </c>
      <c r="P66" s="98">
        <f>SUM(D66:O66)</f>
        <v>17183.04</v>
      </c>
      <c r="Q66" s="98">
        <f t="shared" si="6"/>
        <v>-2602.9599999999991</v>
      </c>
      <c r="R66" s="153">
        <f t="shared" si="7"/>
        <v>-0.13155564540584247</v>
      </c>
    </row>
    <row r="67" spans="1:25" x14ac:dyDescent="0.25">
      <c r="A67" s="135" t="s">
        <v>476</v>
      </c>
      <c r="B67" s="5" t="s">
        <v>477</v>
      </c>
      <c r="C67" s="99">
        <v>0</v>
      </c>
      <c r="D67" s="99">
        <f>$P$67/12</f>
        <v>0</v>
      </c>
      <c r="E67" s="99">
        <f t="shared" ref="E67:O67" si="11">$P$67/12</f>
        <v>0</v>
      </c>
      <c r="F67" s="99">
        <f t="shared" si="11"/>
        <v>0</v>
      </c>
      <c r="G67" s="99">
        <f t="shared" si="11"/>
        <v>0</v>
      </c>
      <c r="H67" s="99">
        <f t="shared" si="11"/>
        <v>0</v>
      </c>
      <c r="I67" s="99">
        <f t="shared" si="11"/>
        <v>0</v>
      </c>
      <c r="J67" s="99">
        <f t="shared" si="11"/>
        <v>0</v>
      </c>
      <c r="K67" s="99">
        <f t="shared" si="11"/>
        <v>0</v>
      </c>
      <c r="L67" s="99">
        <f t="shared" si="11"/>
        <v>0</v>
      </c>
      <c r="M67" s="99">
        <f t="shared" si="11"/>
        <v>0</v>
      </c>
      <c r="N67" s="99">
        <f t="shared" si="11"/>
        <v>0</v>
      </c>
      <c r="O67" s="99">
        <f t="shared" si="11"/>
        <v>0</v>
      </c>
      <c r="P67" s="98">
        <v>0</v>
      </c>
      <c r="Q67" s="98">
        <f t="shared" si="6"/>
        <v>0</v>
      </c>
      <c r="R67" s="153" t="str">
        <f t="shared" si="7"/>
        <v/>
      </c>
    </row>
    <row r="68" spans="1:25" x14ac:dyDescent="0.25">
      <c r="A68" s="1" t="s">
        <v>47</v>
      </c>
      <c r="B68" s="5" t="s">
        <v>48</v>
      </c>
      <c r="C68" s="99">
        <v>3045</v>
      </c>
      <c r="D68" s="99">
        <v>1308.4000000000001</v>
      </c>
      <c r="E68" s="99">
        <v>1308.4000000000001</v>
      </c>
      <c r="F68" s="99">
        <v>1308.4000000000001</v>
      </c>
      <c r="G68" s="99">
        <v>1308.4000000000001</v>
      </c>
      <c r="H68" s="99">
        <v>1308.4000000000001</v>
      </c>
      <c r="I68" s="99">
        <v>1308.4000000000001</v>
      </c>
      <c r="J68" s="99">
        <v>1308.4000000000001</v>
      </c>
      <c r="K68" s="99">
        <v>1308.4000000000001</v>
      </c>
      <c r="L68" s="99">
        <v>1308.4000000000001</v>
      </c>
      <c r="M68" s="99">
        <v>1308.4000000000001</v>
      </c>
      <c r="N68" s="99">
        <v>1308.4000000000001</v>
      </c>
      <c r="O68" s="99">
        <v>1308.4000000000001</v>
      </c>
      <c r="P68" s="98">
        <f>SUM(D68:O68)</f>
        <v>15700.799999999997</v>
      </c>
      <c r="Q68" s="98">
        <f t="shared" si="6"/>
        <v>12655.799999999997</v>
      </c>
      <c r="R68" s="153">
        <f t="shared" si="7"/>
        <v>4.1562561576354673</v>
      </c>
    </row>
    <row r="69" spans="1:25" x14ac:dyDescent="0.25">
      <c r="A69" s="7" t="s">
        <v>219</v>
      </c>
      <c r="B69" s="5" t="s">
        <v>408</v>
      </c>
      <c r="C69" s="99"/>
      <c r="D69" s="99">
        <f t="shared" ref="D69:O71" si="12">$P69/12</f>
        <v>0</v>
      </c>
      <c r="E69" s="99">
        <f t="shared" si="12"/>
        <v>0</v>
      </c>
      <c r="F69" s="99">
        <f t="shared" si="12"/>
        <v>0</v>
      </c>
      <c r="G69" s="99">
        <f t="shared" si="12"/>
        <v>0</v>
      </c>
      <c r="H69" s="99">
        <f t="shared" si="12"/>
        <v>0</v>
      </c>
      <c r="I69" s="99">
        <f t="shared" si="12"/>
        <v>0</v>
      </c>
      <c r="J69" s="99">
        <f t="shared" si="12"/>
        <v>0</v>
      </c>
      <c r="K69" s="99">
        <f t="shared" si="12"/>
        <v>0</v>
      </c>
      <c r="L69" s="99">
        <f t="shared" si="12"/>
        <v>0</v>
      </c>
      <c r="M69" s="99">
        <f t="shared" si="12"/>
        <v>0</v>
      </c>
      <c r="N69" s="99">
        <f t="shared" si="12"/>
        <v>0</v>
      </c>
      <c r="O69" s="99">
        <f t="shared" si="12"/>
        <v>0</v>
      </c>
      <c r="P69" s="98">
        <f>C69*1.05</f>
        <v>0</v>
      </c>
      <c r="Q69" s="98" t="str">
        <f t="shared" si="6"/>
        <v/>
      </c>
      <c r="R69" s="153" t="str">
        <f t="shared" si="7"/>
        <v/>
      </c>
    </row>
    <row r="70" spans="1:25" x14ac:dyDescent="0.25">
      <c r="A70" s="93" t="s">
        <v>221</v>
      </c>
      <c r="B70" s="5" t="s">
        <v>442</v>
      </c>
      <c r="C70" s="99"/>
      <c r="D70" s="99">
        <v>0</v>
      </c>
      <c r="E70" s="99">
        <v>0</v>
      </c>
      <c r="F70" s="99">
        <v>0</v>
      </c>
      <c r="G70" s="99">
        <v>0</v>
      </c>
      <c r="H70" s="99">
        <v>0</v>
      </c>
      <c r="I70" s="99">
        <v>2000</v>
      </c>
      <c r="J70" s="99">
        <v>0</v>
      </c>
      <c r="K70" s="99">
        <v>0</v>
      </c>
      <c r="L70" s="99">
        <v>0</v>
      </c>
      <c r="M70" s="99">
        <v>150</v>
      </c>
      <c r="N70" s="99">
        <v>0</v>
      </c>
      <c r="O70" s="99">
        <v>0</v>
      </c>
      <c r="P70" s="98">
        <f t="shared" ref="P70:P78" si="13">C70*1.05</f>
        <v>0</v>
      </c>
      <c r="Q70" s="98" t="str">
        <f t="shared" si="6"/>
        <v/>
      </c>
      <c r="R70" s="153" t="str">
        <f t="shared" si="7"/>
        <v/>
      </c>
    </row>
    <row r="71" spans="1:25" x14ac:dyDescent="0.25">
      <c r="A71" s="1" t="s">
        <v>223</v>
      </c>
      <c r="B71" s="5" t="s">
        <v>368</v>
      </c>
      <c r="C71" s="99">
        <v>6089</v>
      </c>
      <c r="D71" s="99">
        <f t="shared" si="12"/>
        <v>532.78750000000002</v>
      </c>
      <c r="E71" s="99">
        <f t="shared" si="12"/>
        <v>532.78750000000002</v>
      </c>
      <c r="F71" s="99">
        <f t="shared" si="12"/>
        <v>532.78750000000002</v>
      </c>
      <c r="G71" s="99">
        <f t="shared" si="12"/>
        <v>532.78750000000002</v>
      </c>
      <c r="H71" s="99">
        <f t="shared" si="12"/>
        <v>532.78750000000002</v>
      </c>
      <c r="I71" s="99">
        <f t="shared" si="12"/>
        <v>532.78750000000002</v>
      </c>
      <c r="J71" s="99">
        <f t="shared" si="12"/>
        <v>532.78750000000002</v>
      </c>
      <c r="K71" s="99">
        <f t="shared" si="12"/>
        <v>532.78750000000002</v>
      </c>
      <c r="L71" s="99">
        <f t="shared" si="12"/>
        <v>532.78750000000002</v>
      </c>
      <c r="M71" s="99">
        <f t="shared" si="12"/>
        <v>532.78750000000002</v>
      </c>
      <c r="N71" s="99">
        <f t="shared" si="12"/>
        <v>532.78750000000002</v>
      </c>
      <c r="O71" s="99">
        <f t="shared" si="12"/>
        <v>532.78750000000002</v>
      </c>
      <c r="P71" s="98">
        <f t="shared" si="13"/>
        <v>6393.45</v>
      </c>
      <c r="Q71" s="98">
        <f t="shared" si="6"/>
        <v>304.44999999999982</v>
      </c>
      <c r="R71" s="153">
        <f t="shared" si="7"/>
        <v>4.9999999999999968E-2</v>
      </c>
    </row>
    <row r="72" spans="1:25" x14ac:dyDescent="0.25">
      <c r="A72" s="156" t="s">
        <v>488</v>
      </c>
      <c r="B72" s="5" t="s">
        <v>489</v>
      </c>
      <c r="C72" s="99"/>
      <c r="D72" s="99">
        <v>0</v>
      </c>
      <c r="E72" s="99">
        <v>0</v>
      </c>
      <c r="F72" s="99">
        <v>0</v>
      </c>
      <c r="G72" s="99">
        <v>0</v>
      </c>
      <c r="H72" s="99">
        <v>0</v>
      </c>
      <c r="I72" s="99">
        <v>0</v>
      </c>
      <c r="J72" s="99">
        <v>0</v>
      </c>
      <c r="K72" s="99">
        <v>0</v>
      </c>
      <c r="L72" s="99">
        <v>0</v>
      </c>
      <c r="M72" s="99">
        <v>0</v>
      </c>
      <c r="N72" s="99">
        <v>0</v>
      </c>
      <c r="O72" s="99">
        <v>0</v>
      </c>
      <c r="P72" s="98">
        <f>SUM(D72:O72)</f>
        <v>0</v>
      </c>
      <c r="Q72" s="98" t="str">
        <f t="shared" si="6"/>
        <v/>
      </c>
      <c r="R72" s="153" t="str">
        <f t="shared" si="7"/>
        <v/>
      </c>
    </row>
    <row r="73" spans="1:25" x14ac:dyDescent="0.25">
      <c r="A73" s="1" t="s">
        <v>49</v>
      </c>
      <c r="B73" s="5" t="s">
        <v>50</v>
      </c>
      <c r="C73" s="99">
        <v>10500</v>
      </c>
      <c r="D73" s="99">
        <v>0</v>
      </c>
      <c r="E73" s="99">
        <v>0</v>
      </c>
      <c r="F73" s="99">
        <v>0</v>
      </c>
      <c r="G73" s="99">
        <v>0</v>
      </c>
      <c r="H73" s="99">
        <v>0</v>
      </c>
      <c r="I73" s="99">
        <v>0</v>
      </c>
      <c r="J73" s="99">
        <v>0</v>
      </c>
      <c r="K73" s="99">
        <v>0</v>
      </c>
      <c r="L73" s="99">
        <v>0</v>
      </c>
      <c r="M73" s="99">
        <v>0</v>
      </c>
      <c r="N73" s="99">
        <v>0</v>
      </c>
      <c r="O73" s="99">
        <v>0</v>
      </c>
      <c r="P73" s="98">
        <f t="shared" si="13"/>
        <v>11025</v>
      </c>
      <c r="Q73" s="98">
        <f t="shared" si="6"/>
        <v>525</v>
      </c>
      <c r="R73" s="153">
        <f t="shared" si="7"/>
        <v>0.05</v>
      </c>
    </row>
    <row r="74" spans="1:25" x14ac:dyDescent="0.25">
      <c r="A74" s="113" t="s">
        <v>226</v>
      </c>
      <c r="B74" s="5" t="s">
        <v>464</v>
      </c>
      <c r="C74" s="99"/>
      <c r="D74" s="99">
        <v>0</v>
      </c>
      <c r="E74" s="99">
        <v>0</v>
      </c>
      <c r="F74" s="99">
        <v>0</v>
      </c>
      <c r="G74" s="99">
        <v>0</v>
      </c>
      <c r="H74" s="99">
        <v>0</v>
      </c>
      <c r="I74" s="99">
        <v>0</v>
      </c>
      <c r="J74" s="99">
        <v>0</v>
      </c>
      <c r="K74" s="99">
        <v>0</v>
      </c>
      <c r="L74" s="99">
        <v>0</v>
      </c>
      <c r="M74" s="99">
        <v>0</v>
      </c>
      <c r="N74" s="99">
        <v>0</v>
      </c>
      <c r="O74" s="99">
        <v>0</v>
      </c>
      <c r="P74" s="98">
        <f t="shared" si="13"/>
        <v>0</v>
      </c>
      <c r="Q74" s="98" t="str">
        <f t="shared" si="6"/>
        <v/>
      </c>
      <c r="R74" s="153" t="str">
        <f t="shared" si="7"/>
        <v/>
      </c>
    </row>
    <row r="75" spans="1:25" x14ac:dyDescent="0.25">
      <c r="A75" s="1" t="s">
        <v>192</v>
      </c>
      <c r="B75" s="5" t="s">
        <v>191</v>
      </c>
      <c r="C75" s="99"/>
      <c r="D75" s="99">
        <v>0</v>
      </c>
      <c r="E75" s="99">
        <v>0</v>
      </c>
      <c r="F75" s="99">
        <v>0</v>
      </c>
      <c r="G75" s="99">
        <v>0</v>
      </c>
      <c r="H75" s="99">
        <v>0</v>
      </c>
      <c r="I75" s="99">
        <v>0</v>
      </c>
      <c r="J75" s="99">
        <v>0</v>
      </c>
      <c r="K75" s="99">
        <v>0</v>
      </c>
      <c r="L75" s="99">
        <v>0</v>
      </c>
      <c r="M75" s="99">
        <v>0</v>
      </c>
      <c r="N75" s="99">
        <v>0</v>
      </c>
      <c r="O75" s="99">
        <v>0</v>
      </c>
      <c r="P75" s="98">
        <f t="shared" si="13"/>
        <v>0</v>
      </c>
      <c r="Q75" s="98" t="str">
        <f t="shared" si="6"/>
        <v/>
      </c>
      <c r="R75" s="153" t="str">
        <f t="shared" si="7"/>
        <v/>
      </c>
    </row>
    <row r="76" spans="1:25" x14ac:dyDescent="0.25">
      <c r="A76" s="1" t="s">
        <v>51</v>
      </c>
      <c r="B76" s="5" t="s">
        <v>52</v>
      </c>
      <c r="C76" s="99">
        <v>300</v>
      </c>
      <c r="D76" s="99">
        <v>0</v>
      </c>
      <c r="E76" s="99">
        <v>0</v>
      </c>
      <c r="F76" s="99">
        <v>0</v>
      </c>
      <c r="G76" s="99">
        <v>0</v>
      </c>
      <c r="H76" s="99">
        <v>0</v>
      </c>
      <c r="I76" s="99">
        <v>0</v>
      </c>
      <c r="J76" s="99">
        <v>0</v>
      </c>
      <c r="K76" s="99">
        <v>0</v>
      </c>
      <c r="L76" s="99">
        <v>0</v>
      </c>
      <c r="M76" s="99">
        <v>0</v>
      </c>
      <c r="N76" s="99">
        <v>0</v>
      </c>
      <c r="O76" s="99">
        <v>0</v>
      </c>
      <c r="P76" s="98">
        <f t="shared" si="13"/>
        <v>315</v>
      </c>
      <c r="Q76" s="98">
        <f t="shared" si="6"/>
        <v>15</v>
      </c>
      <c r="R76" s="153">
        <f t="shared" si="7"/>
        <v>0.05</v>
      </c>
      <c r="S76" s="136"/>
    </row>
    <row r="77" spans="1:25" x14ac:dyDescent="0.25">
      <c r="A77" s="1" t="s">
        <v>53</v>
      </c>
      <c r="B77" s="5" t="s">
        <v>54</v>
      </c>
      <c r="C77" s="99">
        <v>30000</v>
      </c>
      <c r="D77" s="99">
        <v>0</v>
      </c>
      <c r="E77" s="99">
        <v>0</v>
      </c>
      <c r="F77" s="99">
        <v>0</v>
      </c>
      <c r="G77" s="99">
        <v>0</v>
      </c>
      <c r="H77" s="99">
        <v>0</v>
      </c>
      <c r="I77" s="99">
        <v>0</v>
      </c>
      <c r="J77" s="99">
        <v>0</v>
      </c>
      <c r="K77" s="99">
        <v>0</v>
      </c>
      <c r="L77" s="99">
        <v>0</v>
      </c>
      <c r="M77" s="99">
        <v>0</v>
      </c>
      <c r="N77" s="99">
        <v>0</v>
      </c>
      <c r="O77" s="99">
        <v>0</v>
      </c>
      <c r="P77" s="98">
        <f t="shared" si="13"/>
        <v>31500</v>
      </c>
      <c r="Q77" s="98">
        <f t="shared" si="6"/>
        <v>1500</v>
      </c>
      <c r="R77" s="153">
        <f t="shared" si="7"/>
        <v>0.05</v>
      </c>
    </row>
    <row r="78" spans="1:25" x14ac:dyDescent="0.25">
      <c r="A78" s="1" t="s">
        <v>55</v>
      </c>
      <c r="B78" s="5" t="s">
        <v>56</v>
      </c>
      <c r="C78" s="99">
        <v>7851</v>
      </c>
      <c r="D78" s="99">
        <v>0</v>
      </c>
      <c r="E78" s="99">
        <v>0</v>
      </c>
      <c r="F78" s="99">
        <v>0</v>
      </c>
      <c r="G78" s="99">
        <v>0</v>
      </c>
      <c r="H78" s="99">
        <v>0</v>
      </c>
      <c r="I78" s="99">
        <v>0</v>
      </c>
      <c r="J78" s="99">
        <v>0</v>
      </c>
      <c r="K78" s="99">
        <v>0</v>
      </c>
      <c r="L78" s="99">
        <v>0</v>
      </c>
      <c r="M78" s="99">
        <v>0</v>
      </c>
      <c r="N78" s="99">
        <v>0</v>
      </c>
      <c r="O78" s="99">
        <v>0</v>
      </c>
      <c r="P78" s="98">
        <f t="shared" si="13"/>
        <v>8243.5500000000011</v>
      </c>
      <c r="Q78" s="98">
        <f t="shared" si="6"/>
        <v>392.55000000000109</v>
      </c>
      <c r="R78" s="153">
        <f t="shared" si="7"/>
        <v>5.0000000000000142E-2</v>
      </c>
    </row>
    <row r="79" spans="1:25" x14ac:dyDescent="0.25">
      <c r="A79" s="1" t="s">
        <v>57</v>
      </c>
      <c r="B79" s="5" t="s">
        <v>58</v>
      </c>
      <c r="C79" s="99">
        <v>9526</v>
      </c>
      <c r="D79" s="99">
        <v>0</v>
      </c>
      <c r="E79" s="99">
        <v>0</v>
      </c>
      <c r="F79" s="99">
        <v>0</v>
      </c>
      <c r="G79" s="99">
        <v>0</v>
      </c>
      <c r="H79" s="99">
        <v>0</v>
      </c>
      <c r="I79" s="99">
        <v>0</v>
      </c>
      <c r="J79" s="99">
        <v>0</v>
      </c>
      <c r="K79" s="99">
        <v>0</v>
      </c>
      <c r="L79" s="99">
        <v>0</v>
      </c>
      <c r="M79" s="99">
        <v>0</v>
      </c>
      <c r="N79" s="99">
        <v>0</v>
      </c>
      <c r="O79" s="99">
        <v>0</v>
      </c>
      <c r="P79" s="98">
        <v>45879.6</v>
      </c>
      <c r="Q79" s="98">
        <f t="shared" si="6"/>
        <v>36353.599999999999</v>
      </c>
      <c r="R79" s="153">
        <f t="shared" si="7"/>
        <v>3.8162502624396386</v>
      </c>
    </row>
    <row r="80" spans="1:25" ht="15.75" thickBot="1" x14ac:dyDescent="0.3">
      <c r="A80" s="1" t="s">
        <v>231</v>
      </c>
      <c r="B80" s="5" t="s">
        <v>367</v>
      </c>
      <c r="C80" s="99">
        <v>47999</v>
      </c>
      <c r="D80" s="99">
        <f>D60*5%</f>
        <v>4641.6799999999994</v>
      </c>
      <c r="E80" s="99">
        <f>E60*5%</f>
        <v>3148.58</v>
      </c>
      <c r="F80" s="99">
        <f>F60*5%</f>
        <v>3219.5834999999997</v>
      </c>
      <c r="G80" s="99">
        <f>G60*5%</f>
        <v>4712.6834999999992</v>
      </c>
      <c r="H80" s="99">
        <f>H60*5%</f>
        <v>3219.5834999999997</v>
      </c>
      <c r="I80" s="99">
        <f>I60*5%</f>
        <v>3219.5834999999997</v>
      </c>
      <c r="J80" s="99">
        <f>J60*5%</f>
        <v>4712.6834999999992</v>
      </c>
      <c r="K80" s="99">
        <f>K60*5%</f>
        <v>3219.5834999999997</v>
      </c>
      <c r="L80" s="99">
        <f>L60*5%</f>
        <v>3219.5834999999997</v>
      </c>
      <c r="M80" s="99">
        <f>M60*5%</f>
        <v>4712.6834999999992</v>
      </c>
      <c r="N80" s="99">
        <f>N60*5%</f>
        <v>3219.5834999999997</v>
      </c>
      <c r="O80" s="99">
        <f>O60*5%</f>
        <v>3219.5834999999997</v>
      </c>
      <c r="P80" s="98">
        <f>SUM(D80:O80)</f>
        <v>44465.394999999997</v>
      </c>
      <c r="Q80" s="98">
        <f t="shared" si="6"/>
        <v>-3533.6050000000032</v>
      </c>
      <c r="R80" s="153">
        <f t="shared" si="7"/>
        <v>-7.3618304548011479E-2</v>
      </c>
      <c r="Y80" s="137"/>
    </row>
    <row r="81" spans="1:19" x14ac:dyDescent="0.25">
      <c r="A81" s="1" t="s">
        <v>59</v>
      </c>
      <c r="B81" s="5" t="s">
        <v>60</v>
      </c>
      <c r="C81" s="100">
        <f>ROUND(SUM(C64:C80),0)</f>
        <v>148882</v>
      </c>
      <c r="D81" s="100">
        <f>ROUND(SUM(D64:D80),0)</f>
        <v>9199</v>
      </c>
      <c r="E81" s="100">
        <f>ROUND(SUM(E64:E80),0)</f>
        <v>7706</v>
      </c>
      <c r="F81" s="100">
        <f>ROUND(SUM(F64:F80),0)</f>
        <v>7777</v>
      </c>
      <c r="G81" s="100">
        <f>ROUND(SUM(G64:G80),0)</f>
        <v>9270</v>
      </c>
      <c r="H81" s="100">
        <f>ROUND(SUM(H64:H80),0)</f>
        <v>7777</v>
      </c>
      <c r="I81" s="100">
        <f>ROUND(SUM(I64:I80),0)</f>
        <v>9777</v>
      </c>
      <c r="J81" s="100">
        <f>ROUND(SUM(J64:J80),0)</f>
        <v>9270</v>
      </c>
      <c r="K81" s="100">
        <f>ROUND(SUM(K64:K80),0)</f>
        <v>7777</v>
      </c>
      <c r="L81" s="100">
        <f>ROUND(SUM(L64:L80),0)</f>
        <v>7777</v>
      </c>
      <c r="M81" s="100">
        <f>ROUND(SUM(M64:M80),0)</f>
        <v>9420</v>
      </c>
      <c r="N81" s="100">
        <f>ROUND(SUM(N64:N80),0)</f>
        <v>7777</v>
      </c>
      <c r="O81" s="100">
        <f>ROUND(SUM(O64:O80),0)</f>
        <v>7777</v>
      </c>
      <c r="P81" s="100">
        <f>ROUND(SUM(P64:P80),0)</f>
        <v>196114</v>
      </c>
      <c r="Q81" s="100">
        <f t="shared" si="6"/>
        <v>47232</v>
      </c>
      <c r="R81" s="153">
        <f t="shared" si="7"/>
        <v>0.31724452922448648</v>
      </c>
    </row>
    <row r="82" spans="1:19" x14ac:dyDescent="0.25">
      <c r="A82" s="1"/>
      <c r="B82" s="5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5"/>
      <c r="Q82" s="105" t="str">
        <f t="shared" si="6"/>
        <v/>
      </c>
      <c r="R82" s="153" t="str">
        <f t="shared" si="7"/>
        <v/>
      </c>
    </row>
    <row r="83" spans="1:19" x14ac:dyDescent="0.25">
      <c r="A83" s="1" t="s">
        <v>61</v>
      </c>
      <c r="B83" s="5" t="s">
        <v>62</v>
      </c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 t="str">
        <f t="shared" si="6"/>
        <v/>
      </c>
      <c r="R83" s="153" t="str">
        <f t="shared" si="7"/>
        <v/>
      </c>
    </row>
    <row r="84" spans="1:19" x14ac:dyDescent="0.25">
      <c r="A84" s="1" t="s">
        <v>63</v>
      </c>
      <c r="B84" s="5" t="s">
        <v>64</v>
      </c>
      <c r="C84" s="99">
        <f>O$84/12</f>
        <v>0</v>
      </c>
      <c r="D84" s="99">
        <f>P$84/12</f>
        <v>0</v>
      </c>
      <c r="E84" s="99">
        <f t="shared" ref="E84:O87" si="14">$P84/12</f>
        <v>0</v>
      </c>
      <c r="F84" s="99">
        <f t="shared" si="14"/>
        <v>0</v>
      </c>
      <c r="G84" s="99">
        <f t="shared" si="14"/>
        <v>0</v>
      </c>
      <c r="H84" s="99">
        <f t="shared" si="14"/>
        <v>0</v>
      </c>
      <c r="I84" s="99">
        <f t="shared" si="14"/>
        <v>0</v>
      </c>
      <c r="J84" s="99">
        <f t="shared" si="14"/>
        <v>0</v>
      </c>
      <c r="K84" s="99">
        <f t="shared" si="14"/>
        <v>0</v>
      </c>
      <c r="L84" s="99">
        <f t="shared" si="14"/>
        <v>0</v>
      </c>
      <c r="M84" s="99">
        <f t="shared" si="14"/>
        <v>0</v>
      </c>
      <c r="N84" s="99">
        <f t="shared" si="14"/>
        <v>0</v>
      </c>
      <c r="O84" s="99">
        <f t="shared" si="14"/>
        <v>0</v>
      </c>
      <c r="P84" s="98">
        <v>0</v>
      </c>
      <c r="Q84" s="98">
        <f t="shared" si="6"/>
        <v>0</v>
      </c>
      <c r="R84" s="153" t="str">
        <f t="shared" si="7"/>
        <v/>
      </c>
    </row>
    <row r="85" spans="1:19" x14ac:dyDescent="0.25">
      <c r="A85" s="1" t="s">
        <v>65</v>
      </c>
      <c r="B85" s="5" t="s">
        <v>66</v>
      </c>
      <c r="C85" s="99">
        <f t="shared" ref="C85:D87" si="15">$P85/12</f>
        <v>0</v>
      </c>
      <c r="D85" s="99">
        <f t="shared" si="15"/>
        <v>0</v>
      </c>
      <c r="E85" s="99">
        <f t="shared" si="14"/>
        <v>0</v>
      </c>
      <c r="F85" s="99">
        <f t="shared" si="14"/>
        <v>0</v>
      </c>
      <c r="G85" s="99">
        <f t="shared" si="14"/>
        <v>0</v>
      </c>
      <c r="H85" s="99">
        <f t="shared" si="14"/>
        <v>0</v>
      </c>
      <c r="I85" s="99">
        <f t="shared" si="14"/>
        <v>0</v>
      </c>
      <c r="J85" s="99">
        <f t="shared" si="14"/>
        <v>0</v>
      </c>
      <c r="K85" s="99">
        <f t="shared" si="14"/>
        <v>0</v>
      </c>
      <c r="L85" s="99">
        <f t="shared" si="14"/>
        <v>0</v>
      </c>
      <c r="M85" s="99">
        <f t="shared" si="14"/>
        <v>0</v>
      </c>
      <c r="N85" s="99">
        <f t="shared" si="14"/>
        <v>0</v>
      </c>
      <c r="O85" s="99">
        <f t="shared" si="14"/>
        <v>0</v>
      </c>
      <c r="P85" s="98">
        <f>_xlfn.IFNA(VLOOKUP(A85,'Op Budget 2016'!$C$15:$Q$53,15,FALSE),)</f>
        <v>0</v>
      </c>
      <c r="Q85" s="98">
        <f t="shared" si="6"/>
        <v>0</v>
      </c>
      <c r="R85" s="153" t="str">
        <f t="shared" si="7"/>
        <v/>
      </c>
    </row>
    <row r="86" spans="1:19" x14ac:dyDescent="0.25">
      <c r="A86" s="1" t="s">
        <v>67</v>
      </c>
      <c r="B86" s="5" t="s">
        <v>68</v>
      </c>
      <c r="C86" s="99">
        <f t="shared" si="15"/>
        <v>0</v>
      </c>
      <c r="D86" s="99">
        <f t="shared" si="15"/>
        <v>0</v>
      </c>
      <c r="E86" s="99">
        <f t="shared" si="14"/>
        <v>0</v>
      </c>
      <c r="F86" s="99">
        <f t="shared" si="14"/>
        <v>0</v>
      </c>
      <c r="G86" s="99">
        <f t="shared" si="14"/>
        <v>0</v>
      </c>
      <c r="H86" s="99">
        <f t="shared" si="14"/>
        <v>0</v>
      </c>
      <c r="I86" s="99">
        <f t="shared" si="14"/>
        <v>0</v>
      </c>
      <c r="J86" s="99">
        <f t="shared" si="14"/>
        <v>0</v>
      </c>
      <c r="K86" s="99">
        <f t="shared" si="14"/>
        <v>0</v>
      </c>
      <c r="L86" s="99">
        <f t="shared" si="14"/>
        <v>0</v>
      </c>
      <c r="M86" s="99">
        <f t="shared" si="14"/>
        <v>0</v>
      </c>
      <c r="N86" s="99">
        <f t="shared" si="14"/>
        <v>0</v>
      </c>
      <c r="O86" s="99">
        <f t="shared" si="14"/>
        <v>0</v>
      </c>
      <c r="P86" s="98">
        <f>_xlfn.IFNA(VLOOKUP(A86,'Op Budget 2016'!$C$15:$Q$53,15,FALSE),)</f>
        <v>0</v>
      </c>
      <c r="Q86" s="98">
        <f t="shared" si="6"/>
        <v>0</v>
      </c>
      <c r="R86" s="153" t="str">
        <f t="shared" si="7"/>
        <v/>
      </c>
    </row>
    <row r="87" spans="1:19" x14ac:dyDescent="0.25">
      <c r="A87" s="1" t="s">
        <v>69</v>
      </c>
      <c r="B87" s="5" t="s">
        <v>70</v>
      </c>
      <c r="C87" s="99">
        <f t="shared" si="15"/>
        <v>0</v>
      </c>
      <c r="D87" s="99">
        <f t="shared" si="15"/>
        <v>0</v>
      </c>
      <c r="E87" s="99">
        <f t="shared" si="14"/>
        <v>0</v>
      </c>
      <c r="F87" s="99">
        <f t="shared" si="14"/>
        <v>0</v>
      </c>
      <c r="G87" s="99">
        <f t="shared" si="14"/>
        <v>0</v>
      </c>
      <c r="H87" s="99">
        <f t="shared" si="14"/>
        <v>0</v>
      </c>
      <c r="I87" s="99">
        <f t="shared" si="14"/>
        <v>0</v>
      </c>
      <c r="J87" s="99">
        <f t="shared" si="14"/>
        <v>0</v>
      </c>
      <c r="K87" s="99">
        <f t="shared" si="14"/>
        <v>0</v>
      </c>
      <c r="L87" s="99">
        <f t="shared" si="14"/>
        <v>0</v>
      </c>
      <c r="M87" s="99">
        <f t="shared" si="14"/>
        <v>0</v>
      </c>
      <c r="N87" s="99">
        <f t="shared" si="14"/>
        <v>0</v>
      </c>
      <c r="O87" s="99">
        <f t="shared" si="14"/>
        <v>0</v>
      </c>
      <c r="P87" s="98">
        <f>_xlfn.IFNA(VLOOKUP(A87,'Op Budget 2016'!$C$15:$Q$53,15,FALSE),)</f>
        <v>0</v>
      </c>
      <c r="Q87" s="98">
        <f t="shared" si="6"/>
        <v>0</v>
      </c>
      <c r="R87" s="153" t="str">
        <f t="shared" si="7"/>
        <v/>
      </c>
    </row>
    <row r="88" spans="1:19" x14ac:dyDescent="0.25">
      <c r="A88" s="1" t="s">
        <v>71</v>
      </c>
      <c r="B88" s="5" t="s">
        <v>72</v>
      </c>
      <c r="C88" s="99">
        <v>182964</v>
      </c>
      <c r="D88" s="99">
        <v>45816.15</v>
      </c>
      <c r="E88" s="99">
        <v>0</v>
      </c>
      <c r="F88" s="99">
        <v>0</v>
      </c>
      <c r="G88" s="99">
        <v>45816.15</v>
      </c>
      <c r="H88" s="99">
        <v>0</v>
      </c>
      <c r="I88" s="99">
        <v>0</v>
      </c>
      <c r="J88" s="99">
        <v>45816.15</v>
      </c>
      <c r="K88" s="99">
        <v>0</v>
      </c>
      <c r="L88" s="99">
        <v>0</v>
      </c>
      <c r="M88" s="99">
        <v>45816.15</v>
      </c>
      <c r="N88" s="99">
        <v>0</v>
      </c>
      <c r="O88" s="99">
        <v>0</v>
      </c>
      <c r="P88" s="98">
        <f>SUM(D88:O88)</f>
        <v>183264.6</v>
      </c>
      <c r="Q88" s="98">
        <f t="shared" si="6"/>
        <v>300.60000000000582</v>
      </c>
      <c r="R88" s="153">
        <f t="shared" si="7"/>
        <v>1.6429461533416729E-3</v>
      </c>
    </row>
    <row r="89" spans="1:19" x14ac:dyDescent="0.25">
      <c r="A89" s="1" t="s">
        <v>73</v>
      </c>
      <c r="B89" s="5" t="s">
        <v>74</v>
      </c>
      <c r="C89" s="99">
        <v>16960</v>
      </c>
      <c r="D89" s="99">
        <v>0</v>
      </c>
      <c r="E89" s="99">
        <v>0</v>
      </c>
      <c r="F89" s="99">
        <v>0</v>
      </c>
      <c r="G89" s="99">
        <v>0</v>
      </c>
      <c r="H89" s="99">
        <v>300</v>
      </c>
      <c r="I89" s="99">
        <v>12000</v>
      </c>
      <c r="J89" s="99">
        <v>0</v>
      </c>
      <c r="K89" s="99">
        <v>0</v>
      </c>
      <c r="L89" s="99">
        <v>0</v>
      </c>
      <c r="M89" s="99">
        <v>0</v>
      </c>
      <c r="N89" s="99">
        <v>0</v>
      </c>
      <c r="O89" s="99">
        <v>0</v>
      </c>
      <c r="P89" s="98">
        <f>SUM(D89:O89)</f>
        <v>12300</v>
      </c>
      <c r="Q89" s="98">
        <f t="shared" si="6"/>
        <v>-4660</v>
      </c>
      <c r="R89" s="153">
        <f t="shared" si="7"/>
        <v>-0.27476415094339623</v>
      </c>
      <c r="S89" t="s">
        <v>480</v>
      </c>
    </row>
    <row r="90" spans="1:19" x14ac:dyDescent="0.25">
      <c r="A90" s="1" t="s">
        <v>75</v>
      </c>
      <c r="B90" s="5" t="s">
        <v>76</v>
      </c>
      <c r="C90" s="99">
        <v>0</v>
      </c>
      <c r="D90" s="99">
        <v>0</v>
      </c>
      <c r="E90" s="99">
        <v>0</v>
      </c>
      <c r="F90" s="99">
        <f>P90/2</f>
        <v>250</v>
      </c>
      <c r="G90" s="99">
        <v>0</v>
      </c>
      <c r="H90" s="99">
        <v>0</v>
      </c>
      <c r="I90" s="99">
        <v>0</v>
      </c>
      <c r="J90" s="99">
        <v>0</v>
      </c>
      <c r="K90" s="99">
        <v>0</v>
      </c>
      <c r="L90" s="99">
        <f>P90/2</f>
        <v>250</v>
      </c>
      <c r="M90" s="99">
        <v>0</v>
      </c>
      <c r="N90" s="99">
        <v>0</v>
      </c>
      <c r="O90" s="99">
        <v>0</v>
      </c>
      <c r="P90" s="98">
        <v>500</v>
      </c>
      <c r="Q90" s="98">
        <f t="shared" si="6"/>
        <v>500</v>
      </c>
      <c r="R90" s="153" t="str">
        <f t="shared" si="7"/>
        <v/>
      </c>
    </row>
    <row r="91" spans="1:19" x14ac:dyDescent="0.25">
      <c r="A91" s="1" t="s">
        <v>190</v>
      </c>
      <c r="B91" s="5" t="s">
        <v>189</v>
      </c>
      <c r="C91" s="99">
        <v>0</v>
      </c>
      <c r="D91" s="99">
        <f t="shared" ref="C91:O99" si="16">$P91/12</f>
        <v>0</v>
      </c>
      <c r="E91" s="99">
        <f t="shared" si="16"/>
        <v>0</v>
      </c>
      <c r="F91" s="99">
        <f t="shared" si="16"/>
        <v>0</v>
      </c>
      <c r="G91" s="99">
        <f t="shared" si="16"/>
        <v>0</v>
      </c>
      <c r="H91" s="99">
        <f t="shared" si="16"/>
        <v>0</v>
      </c>
      <c r="I91" s="99">
        <f t="shared" si="16"/>
        <v>0</v>
      </c>
      <c r="J91" s="99">
        <f t="shared" si="16"/>
        <v>0</v>
      </c>
      <c r="K91" s="99">
        <f t="shared" si="16"/>
        <v>0</v>
      </c>
      <c r="L91" s="99">
        <f t="shared" si="16"/>
        <v>0</v>
      </c>
      <c r="M91" s="99">
        <f t="shared" si="16"/>
        <v>0</v>
      </c>
      <c r="N91" s="99">
        <f t="shared" si="16"/>
        <v>0</v>
      </c>
      <c r="O91" s="99">
        <f t="shared" si="16"/>
        <v>0</v>
      </c>
      <c r="P91" s="98">
        <f>_xlfn.IFNA(VLOOKUP(A91,'Op Budget 2016'!$C$15:$Q$53,15,FALSE),)</f>
        <v>0</v>
      </c>
      <c r="Q91" s="98">
        <f t="shared" si="6"/>
        <v>0</v>
      </c>
      <c r="R91" s="153" t="str">
        <f t="shared" si="7"/>
        <v/>
      </c>
    </row>
    <row r="92" spans="1:19" x14ac:dyDescent="0.25">
      <c r="A92" s="1" t="s">
        <v>77</v>
      </c>
      <c r="B92" s="5" t="s">
        <v>78</v>
      </c>
      <c r="C92" s="99">
        <f t="shared" si="16"/>
        <v>0</v>
      </c>
      <c r="D92" s="99">
        <f t="shared" si="16"/>
        <v>0</v>
      </c>
      <c r="E92" s="99">
        <f t="shared" si="16"/>
        <v>0</v>
      </c>
      <c r="F92" s="99">
        <f t="shared" si="16"/>
        <v>0</v>
      </c>
      <c r="G92" s="99">
        <f t="shared" si="16"/>
        <v>0</v>
      </c>
      <c r="H92" s="99">
        <f t="shared" si="16"/>
        <v>0</v>
      </c>
      <c r="I92" s="99">
        <f t="shared" si="16"/>
        <v>0</v>
      </c>
      <c r="J92" s="99">
        <f t="shared" si="16"/>
        <v>0</v>
      </c>
      <c r="K92" s="99">
        <f t="shared" si="16"/>
        <v>0</v>
      </c>
      <c r="L92" s="99">
        <f t="shared" si="16"/>
        <v>0</v>
      </c>
      <c r="M92" s="99">
        <f t="shared" si="16"/>
        <v>0</v>
      </c>
      <c r="N92" s="99">
        <f t="shared" si="16"/>
        <v>0</v>
      </c>
      <c r="O92" s="99">
        <f t="shared" si="16"/>
        <v>0</v>
      </c>
      <c r="P92" s="98">
        <f>_xlfn.IFNA(VLOOKUP(A92,'Op Budget 2016'!$C$15:$Q$53,15,FALSE),)</f>
        <v>0</v>
      </c>
      <c r="Q92" s="98">
        <f t="shared" si="6"/>
        <v>0</v>
      </c>
      <c r="R92" s="153" t="str">
        <f t="shared" si="7"/>
        <v/>
      </c>
    </row>
    <row r="93" spans="1:19" x14ac:dyDescent="0.25">
      <c r="A93" s="93" t="s">
        <v>247</v>
      </c>
      <c r="B93" s="5" t="s">
        <v>443</v>
      </c>
      <c r="C93" s="99">
        <v>1644</v>
      </c>
      <c r="D93" s="99">
        <f t="shared" si="16"/>
        <v>236.5</v>
      </c>
      <c r="E93" s="99">
        <f t="shared" si="16"/>
        <v>236.5</v>
      </c>
      <c r="F93" s="99">
        <f t="shared" si="16"/>
        <v>236.5</v>
      </c>
      <c r="G93" s="99">
        <f t="shared" si="16"/>
        <v>236.5</v>
      </c>
      <c r="H93" s="99">
        <f t="shared" si="16"/>
        <v>236.5</v>
      </c>
      <c r="I93" s="99">
        <f t="shared" si="16"/>
        <v>236.5</v>
      </c>
      <c r="J93" s="99">
        <f t="shared" si="16"/>
        <v>236.5</v>
      </c>
      <c r="K93" s="99">
        <f t="shared" si="16"/>
        <v>236.5</v>
      </c>
      <c r="L93" s="99">
        <f t="shared" si="16"/>
        <v>236.5</v>
      </c>
      <c r="M93" s="99">
        <f t="shared" si="16"/>
        <v>236.5</v>
      </c>
      <c r="N93" s="99">
        <f t="shared" si="16"/>
        <v>236.5</v>
      </c>
      <c r="O93" s="99">
        <f t="shared" si="16"/>
        <v>236.5</v>
      </c>
      <c r="P93" s="98">
        <v>2838</v>
      </c>
      <c r="Q93" s="98">
        <f t="shared" si="6"/>
        <v>1194</v>
      </c>
      <c r="R93" s="153">
        <f t="shared" si="7"/>
        <v>0.72627737226277367</v>
      </c>
      <c r="S93" t="s">
        <v>487</v>
      </c>
    </row>
    <row r="94" spans="1:19" x14ac:dyDescent="0.25">
      <c r="A94" s="1" t="s">
        <v>79</v>
      </c>
      <c r="B94" s="5" t="s">
        <v>80</v>
      </c>
      <c r="C94" s="99">
        <v>0</v>
      </c>
      <c r="D94" s="99">
        <f t="shared" si="16"/>
        <v>11.666666666666666</v>
      </c>
      <c r="E94" s="99">
        <f t="shared" si="16"/>
        <v>11.666666666666666</v>
      </c>
      <c r="F94" s="99">
        <f t="shared" si="16"/>
        <v>11.666666666666666</v>
      </c>
      <c r="G94" s="99">
        <f t="shared" si="16"/>
        <v>11.666666666666666</v>
      </c>
      <c r="H94" s="99">
        <f t="shared" si="16"/>
        <v>11.666666666666666</v>
      </c>
      <c r="I94" s="99">
        <f t="shared" si="16"/>
        <v>11.666666666666666</v>
      </c>
      <c r="J94" s="99">
        <f t="shared" si="16"/>
        <v>11.666666666666666</v>
      </c>
      <c r="K94" s="99">
        <f t="shared" si="16"/>
        <v>11.666666666666666</v>
      </c>
      <c r="L94" s="99">
        <f t="shared" si="16"/>
        <v>11.666666666666666</v>
      </c>
      <c r="M94" s="99">
        <f t="shared" si="16"/>
        <v>11.666666666666666</v>
      </c>
      <c r="N94" s="99">
        <f t="shared" si="16"/>
        <v>11.666666666666666</v>
      </c>
      <c r="O94" s="99">
        <f t="shared" si="16"/>
        <v>11.666666666666666</v>
      </c>
      <c r="P94" s="98">
        <v>140</v>
      </c>
      <c r="Q94" s="98">
        <f t="shared" si="6"/>
        <v>140</v>
      </c>
      <c r="R94" s="153" t="str">
        <f t="shared" si="7"/>
        <v/>
      </c>
      <c r="S94" t="s">
        <v>487</v>
      </c>
    </row>
    <row r="95" spans="1:19" x14ac:dyDescent="0.25">
      <c r="A95" s="1" t="s">
        <v>81</v>
      </c>
      <c r="B95" s="5" t="s">
        <v>82</v>
      </c>
      <c r="C95" s="99">
        <v>0</v>
      </c>
      <c r="D95" s="99">
        <f t="shared" si="16"/>
        <v>0</v>
      </c>
      <c r="E95" s="99">
        <f t="shared" si="16"/>
        <v>0</v>
      </c>
      <c r="F95" s="99">
        <f t="shared" si="16"/>
        <v>0</v>
      </c>
      <c r="G95" s="99">
        <f t="shared" si="16"/>
        <v>0</v>
      </c>
      <c r="H95" s="99">
        <f t="shared" si="16"/>
        <v>0</v>
      </c>
      <c r="I95" s="99">
        <f t="shared" si="16"/>
        <v>0</v>
      </c>
      <c r="J95" s="99">
        <f t="shared" si="16"/>
        <v>0</v>
      </c>
      <c r="K95" s="99">
        <f t="shared" si="16"/>
        <v>0</v>
      </c>
      <c r="L95" s="99">
        <f t="shared" si="16"/>
        <v>0</v>
      </c>
      <c r="M95" s="99">
        <f t="shared" si="16"/>
        <v>0</v>
      </c>
      <c r="N95" s="99">
        <f t="shared" si="16"/>
        <v>0</v>
      </c>
      <c r="O95" s="99">
        <f t="shared" si="16"/>
        <v>0</v>
      </c>
      <c r="P95" s="98">
        <v>0</v>
      </c>
      <c r="Q95" s="98">
        <f t="shared" si="6"/>
        <v>0</v>
      </c>
      <c r="R95" s="153" t="str">
        <f t="shared" si="7"/>
        <v/>
      </c>
    </row>
    <row r="96" spans="1:19" x14ac:dyDescent="0.25">
      <c r="A96" s="1" t="s">
        <v>83</v>
      </c>
      <c r="B96" s="5" t="s">
        <v>84</v>
      </c>
      <c r="C96" s="99">
        <f t="shared" si="16"/>
        <v>0</v>
      </c>
      <c r="D96" s="99">
        <f t="shared" si="16"/>
        <v>0</v>
      </c>
      <c r="E96" s="99">
        <f t="shared" si="16"/>
        <v>0</v>
      </c>
      <c r="F96" s="99">
        <f t="shared" si="16"/>
        <v>0</v>
      </c>
      <c r="G96" s="99">
        <f t="shared" si="16"/>
        <v>0</v>
      </c>
      <c r="H96" s="99">
        <f t="shared" si="16"/>
        <v>0</v>
      </c>
      <c r="I96" s="99">
        <f t="shared" si="16"/>
        <v>0</v>
      </c>
      <c r="J96" s="99">
        <f t="shared" si="16"/>
        <v>0</v>
      </c>
      <c r="K96" s="99">
        <f t="shared" si="16"/>
        <v>0</v>
      </c>
      <c r="L96" s="99">
        <f t="shared" si="16"/>
        <v>0</v>
      </c>
      <c r="M96" s="99">
        <f t="shared" si="16"/>
        <v>0</v>
      </c>
      <c r="N96" s="99">
        <f t="shared" si="16"/>
        <v>0</v>
      </c>
      <c r="O96" s="99">
        <f t="shared" si="16"/>
        <v>0</v>
      </c>
      <c r="P96" s="98">
        <v>0</v>
      </c>
      <c r="Q96" s="98">
        <f t="shared" si="6"/>
        <v>0</v>
      </c>
      <c r="R96" s="153" t="str">
        <f t="shared" si="7"/>
        <v/>
      </c>
    </row>
    <row r="97" spans="1:24" x14ac:dyDescent="0.25">
      <c r="A97" s="1" t="s">
        <v>85</v>
      </c>
      <c r="B97" s="5" t="s">
        <v>86</v>
      </c>
      <c r="C97" s="99">
        <f t="shared" si="16"/>
        <v>0</v>
      </c>
      <c r="D97" s="99">
        <f t="shared" si="16"/>
        <v>0</v>
      </c>
      <c r="E97" s="99">
        <f t="shared" si="16"/>
        <v>0</v>
      </c>
      <c r="F97" s="99">
        <f t="shared" si="16"/>
        <v>0</v>
      </c>
      <c r="G97" s="99">
        <f t="shared" si="16"/>
        <v>0</v>
      </c>
      <c r="H97" s="99">
        <f t="shared" si="16"/>
        <v>0</v>
      </c>
      <c r="I97" s="99">
        <f t="shared" si="16"/>
        <v>0</v>
      </c>
      <c r="J97" s="99">
        <f t="shared" si="16"/>
        <v>0</v>
      </c>
      <c r="K97" s="99">
        <f t="shared" si="16"/>
        <v>0</v>
      </c>
      <c r="L97" s="99">
        <f t="shared" si="16"/>
        <v>0</v>
      </c>
      <c r="M97" s="99">
        <f t="shared" si="16"/>
        <v>0</v>
      </c>
      <c r="N97" s="99">
        <f t="shared" si="16"/>
        <v>0</v>
      </c>
      <c r="O97" s="99">
        <f t="shared" si="16"/>
        <v>0</v>
      </c>
      <c r="P97" s="98">
        <f>_xlfn.IFNA(VLOOKUP(A97,'Op Budget 2016'!$C$15:$Q$53,15,FALSE),)</f>
        <v>0</v>
      </c>
      <c r="Q97" s="98">
        <f t="shared" si="6"/>
        <v>0</v>
      </c>
      <c r="R97" s="153" t="str">
        <f t="shared" si="7"/>
        <v/>
      </c>
    </row>
    <row r="98" spans="1:24" x14ac:dyDescent="0.25">
      <c r="A98" s="1" t="s">
        <v>87</v>
      </c>
      <c r="B98" s="5" t="s">
        <v>88</v>
      </c>
      <c r="C98" s="99">
        <v>14400</v>
      </c>
      <c r="D98" s="99">
        <f t="shared" si="16"/>
        <v>679.16666666666663</v>
      </c>
      <c r="E98" s="99">
        <f t="shared" si="16"/>
        <v>679.16666666666663</v>
      </c>
      <c r="F98" s="99">
        <f t="shared" si="16"/>
        <v>679.16666666666663</v>
      </c>
      <c r="G98" s="99">
        <f t="shared" si="16"/>
        <v>679.16666666666663</v>
      </c>
      <c r="H98" s="99">
        <f t="shared" si="16"/>
        <v>679.16666666666663</v>
      </c>
      <c r="I98" s="99">
        <f t="shared" si="16"/>
        <v>679.16666666666663</v>
      </c>
      <c r="J98" s="99">
        <f t="shared" si="16"/>
        <v>679.16666666666663</v>
      </c>
      <c r="K98" s="99">
        <f t="shared" si="16"/>
        <v>679.16666666666663</v>
      </c>
      <c r="L98" s="99">
        <f t="shared" si="16"/>
        <v>679.16666666666663</v>
      </c>
      <c r="M98" s="99">
        <f t="shared" si="16"/>
        <v>679.16666666666663</v>
      </c>
      <c r="N98" s="99">
        <f t="shared" si="16"/>
        <v>679.16666666666663</v>
      </c>
      <c r="O98" s="99">
        <f t="shared" si="16"/>
        <v>679.16666666666663</v>
      </c>
      <c r="P98" s="98">
        <f>_xlfn.IFNA(VLOOKUP(A98,'Op Budget 2016'!$C$15:$Q$53,15,FALSE),)</f>
        <v>8150</v>
      </c>
      <c r="Q98" s="98">
        <f t="shared" si="6"/>
        <v>-6250</v>
      </c>
      <c r="R98" s="153">
        <f t="shared" si="7"/>
        <v>-0.43402777777777779</v>
      </c>
    </row>
    <row r="99" spans="1:24" x14ac:dyDescent="0.25">
      <c r="A99" s="1" t="s">
        <v>89</v>
      </c>
      <c r="B99" s="5" t="s">
        <v>90</v>
      </c>
      <c r="C99" s="99">
        <v>7200</v>
      </c>
      <c r="D99" s="99">
        <v>600</v>
      </c>
      <c r="E99" s="99">
        <f t="shared" si="16"/>
        <v>600</v>
      </c>
      <c r="F99" s="99">
        <f t="shared" si="16"/>
        <v>600</v>
      </c>
      <c r="G99" s="99">
        <f t="shared" si="16"/>
        <v>600</v>
      </c>
      <c r="H99" s="99">
        <f t="shared" si="16"/>
        <v>600</v>
      </c>
      <c r="I99" s="99">
        <f t="shared" si="16"/>
        <v>600</v>
      </c>
      <c r="J99" s="99">
        <f t="shared" si="16"/>
        <v>600</v>
      </c>
      <c r="K99" s="99">
        <f t="shared" si="16"/>
        <v>600</v>
      </c>
      <c r="L99" s="99">
        <f t="shared" si="16"/>
        <v>600</v>
      </c>
      <c r="M99" s="99">
        <f t="shared" si="16"/>
        <v>600</v>
      </c>
      <c r="N99" s="99">
        <f t="shared" si="16"/>
        <v>600</v>
      </c>
      <c r="O99" s="99">
        <f t="shared" si="16"/>
        <v>600</v>
      </c>
      <c r="P99" s="98">
        <v>7200</v>
      </c>
      <c r="Q99" s="98">
        <f t="shared" si="6"/>
        <v>0</v>
      </c>
      <c r="R99" s="153">
        <f t="shared" si="7"/>
        <v>0</v>
      </c>
    </row>
    <row r="100" spans="1:24" x14ac:dyDescent="0.25">
      <c r="A100" s="1" t="s">
        <v>91</v>
      </c>
      <c r="B100" s="5" t="s">
        <v>92</v>
      </c>
      <c r="C100" s="99">
        <v>0</v>
      </c>
      <c r="D100" s="99">
        <v>0</v>
      </c>
      <c r="E100" s="99">
        <v>0</v>
      </c>
      <c r="F100" s="99">
        <v>0</v>
      </c>
      <c r="G100" s="99">
        <v>0</v>
      </c>
      <c r="H100" s="99">
        <v>0</v>
      </c>
      <c r="I100" s="99">
        <v>0</v>
      </c>
      <c r="J100" s="99">
        <v>0</v>
      </c>
      <c r="K100" s="99">
        <v>0</v>
      </c>
      <c r="L100" s="99">
        <v>0</v>
      </c>
      <c r="M100" s="99">
        <v>0</v>
      </c>
      <c r="N100" s="99">
        <v>0</v>
      </c>
      <c r="O100" s="99">
        <v>0</v>
      </c>
      <c r="P100" s="98">
        <f>SUM(D100:O100)</f>
        <v>0</v>
      </c>
      <c r="Q100" s="98">
        <f t="shared" si="6"/>
        <v>0</v>
      </c>
      <c r="R100" s="153" t="str">
        <f t="shared" si="7"/>
        <v/>
      </c>
    </row>
    <row r="101" spans="1:24" ht="15.75" thickBot="1" x14ac:dyDescent="0.3">
      <c r="A101" s="1"/>
      <c r="B101" s="5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 t="str">
        <f t="shared" si="6"/>
        <v/>
      </c>
      <c r="R101" s="153" t="str">
        <f t="shared" si="7"/>
        <v/>
      </c>
    </row>
    <row r="102" spans="1:24" s="91" customFormat="1" x14ac:dyDescent="0.25">
      <c r="A102" s="6" t="s">
        <v>93</v>
      </c>
      <c r="B102" s="3" t="s">
        <v>94</v>
      </c>
      <c r="C102" s="100">
        <f t="shared" ref="C102" si="17">SUM(C84:C101)</f>
        <v>223168</v>
      </c>
      <c r="D102" s="100">
        <f t="shared" ref="D102:O102" si="18">SUM(D84:D101)</f>
        <v>47343.48333333333</v>
      </c>
      <c r="E102" s="100">
        <f t="shared" si="18"/>
        <v>1527.3333333333333</v>
      </c>
      <c r="F102" s="100">
        <f t="shared" si="18"/>
        <v>1777.3333333333333</v>
      </c>
      <c r="G102" s="100">
        <f t="shared" si="18"/>
        <v>47343.48333333333</v>
      </c>
      <c r="H102" s="100">
        <f t="shared" si="18"/>
        <v>1827.3333333333333</v>
      </c>
      <c r="I102" s="100">
        <f t="shared" si="18"/>
        <v>13527.333333333332</v>
      </c>
      <c r="J102" s="100">
        <f t="shared" si="18"/>
        <v>47343.48333333333</v>
      </c>
      <c r="K102" s="100">
        <f t="shared" si="18"/>
        <v>1527.3333333333333</v>
      </c>
      <c r="L102" s="100">
        <f t="shared" si="18"/>
        <v>1777.3333333333333</v>
      </c>
      <c r="M102" s="100">
        <f t="shared" si="18"/>
        <v>47343.48333333333</v>
      </c>
      <c r="N102" s="100">
        <f t="shared" si="18"/>
        <v>1527.3333333333333</v>
      </c>
      <c r="O102" s="100">
        <f t="shared" si="18"/>
        <v>1527.3333333333333</v>
      </c>
      <c r="P102" s="100">
        <f>SUM(P84:P101)</f>
        <v>214392.6</v>
      </c>
      <c r="Q102" s="100">
        <f t="shared" si="6"/>
        <v>-8775.3999999999942</v>
      </c>
      <c r="R102" s="153">
        <f t="shared" si="7"/>
        <v>-3.9321945798680785E-2</v>
      </c>
    </row>
    <row r="103" spans="1:24" x14ac:dyDescent="0.25">
      <c r="A103" s="1"/>
      <c r="B103" s="5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 t="str">
        <f t="shared" si="6"/>
        <v/>
      </c>
      <c r="R103" s="153" t="str">
        <f t="shared" si="7"/>
        <v/>
      </c>
    </row>
    <row r="104" spans="1:24" x14ac:dyDescent="0.25">
      <c r="A104" s="1" t="s">
        <v>95</v>
      </c>
      <c r="B104" s="5" t="s">
        <v>96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 t="str">
        <f t="shared" si="6"/>
        <v/>
      </c>
      <c r="R104" s="153" t="str">
        <f t="shared" si="7"/>
        <v/>
      </c>
      <c r="U104" s="110"/>
      <c r="V104" s="138"/>
      <c r="W104" s="138"/>
      <c r="X104" s="138"/>
    </row>
    <row r="105" spans="1:24" x14ac:dyDescent="0.25">
      <c r="A105" s="1" t="s">
        <v>256</v>
      </c>
      <c r="B105" s="5" t="s">
        <v>369</v>
      </c>
      <c r="C105" s="99">
        <v>1705</v>
      </c>
      <c r="D105" s="99">
        <f t="shared" ref="D105:O105" si="19">$P$105/12</f>
        <v>99.458333333333329</v>
      </c>
      <c r="E105" s="99">
        <f t="shared" si="19"/>
        <v>99.458333333333329</v>
      </c>
      <c r="F105" s="99">
        <f t="shared" si="19"/>
        <v>99.458333333333329</v>
      </c>
      <c r="G105" s="99">
        <f t="shared" si="19"/>
        <v>99.458333333333329</v>
      </c>
      <c r="H105" s="99">
        <f t="shared" si="19"/>
        <v>99.458333333333329</v>
      </c>
      <c r="I105" s="99">
        <f t="shared" si="19"/>
        <v>99.458333333333329</v>
      </c>
      <c r="J105" s="99">
        <f t="shared" si="19"/>
        <v>99.458333333333329</v>
      </c>
      <c r="K105" s="99">
        <f t="shared" si="19"/>
        <v>99.458333333333329</v>
      </c>
      <c r="L105" s="99">
        <f t="shared" si="19"/>
        <v>99.458333333333329</v>
      </c>
      <c r="M105" s="99">
        <f t="shared" si="19"/>
        <v>99.458333333333329</v>
      </c>
      <c r="N105" s="99">
        <f t="shared" si="19"/>
        <v>99.458333333333329</v>
      </c>
      <c r="O105" s="99">
        <f t="shared" si="19"/>
        <v>99.458333333333329</v>
      </c>
      <c r="P105" s="98">
        <f>C105*0.7</f>
        <v>1193.5</v>
      </c>
      <c r="Q105" s="98">
        <f t="shared" si="6"/>
        <v>-511.5</v>
      </c>
      <c r="R105" s="153">
        <f t="shared" si="7"/>
        <v>-0.3</v>
      </c>
      <c r="S105" t="s">
        <v>479</v>
      </c>
      <c r="U105" s="133"/>
      <c r="V105" s="138"/>
      <c r="W105" s="138"/>
      <c r="X105" s="138"/>
    </row>
    <row r="106" spans="1:24" x14ac:dyDescent="0.25">
      <c r="A106" s="1" t="s">
        <v>97</v>
      </c>
      <c r="B106" s="5" t="s">
        <v>98</v>
      </c>
      <c r="C106" s="99">
        <v>0</v>
      </c>
      <c r="D106" s="99">
        <v>0</v>
      </c>
      <c r="E106" s="99">
        <v>0</v>
      </c>
      <c r="F106" s="99">
        <f>103*0.7</f>
        <v>72.099999999999994</v>
      </c>
      <c r="G106" s="99">
        <f>20*0.7</f>
        <v>14</v>
      </c>
      <c r="H106" s="99">
        <v>0</v>
      </c>
      <c r="I106" s="99">
        <v>0</v>
      </c>
      <c r="J106" s="99">
        <f>117*0.7</f>
        <v>81.899999999999991</v>
      </c>
      <c r="K106" s="99">
        <f>78*0.7</f>
        <v>54.599999999999994</v>
      </c>
      <c r="L106" s="99">
        <v>0</v>
      </c>
      <c r="M106" s="99">
        <v>0</v>
      </c>
      <c r="N106" s="99">
        <v>0</v>
      </c>
      <c r="O106" s="99">
        <v>0</v>
      </c>
      <c r="P106" s="98">
        <f>SUM(D106:O106)</f>
        <v>222.6</v>
      </c>
      <c r="Q106" s="98">
        <f t="shared" si="6"/>
        <v>222.6</v>
      </c>
      <c r="R106" s="153" t="str">
        <f t="shared" si="7"/>
        <v/>
      </c>
      <c r="S106" t="s">
        <v>479</v>
      </c>
      <c r="U106" s="133"/>
      <c r="V106" s="138"/>
      <c r="W106" s="138"/>
      <c r="X106" s="138"/>
    </row>
    <row r="107" spans="1:24" x14ac:dyDescent="0.25">
      <c r="A107" s="1" t="s">
        <v>99</v>
      </c>
      <c r="B107" s="5" t="s">
        <v>100</v>
      </c>
      <c r="C107" s="99">
        <v>1482</v>
      </c>
      <c r="D107" s="99">
        <f t="shared" ref="D107:O107" si="20">$P$107/12</f>
        <v>86.449999999999989</v>
      </c>
      <c r="E107" s="99">
        <f t="shared" si="20"/>
        <v>86.449999999999989</v>
      </c>
      <c r="F107" s="99">
        <f t="shared" si="20"/>
        <v>86.449999999999989</v>
      </c>
      <c r="G107" s="99">
        <f t="shared" si="20"/>
        <v>86.449999999999989</v>
      </c>
      <c r="H107" s="99">
        <f t="shared" si="20"/>
        <v>86.449999999999989</v>
      </c>
      <c r="I107" s="99">
        <f t="shared" si="20"/>
        <v>86.449999999999989</v>
      </c>
      <c r="J107" s="99">
        <f t="shared" si="20"/>
        <v>86.449999999999989</v>
      </c>
      <c r="K107" s="99">
        <f t="shared" si="20"/>
        <v>86.449999999999989</v>
      </c>
      <c r="L107" s="99">
        <f t="shared" si="20"/>
        <v>86.449999999999989</v>
      </c>
      <c r="M107" s="99">
        <f t="shared" si="20"/>
        <v>86.449999999999989</v>
      </c>
      <c r="N107" s="99">
        <f t="shared" si="20"/>
        <v>86.449999999999989</v>
      </c>
      <c r="O107" s="99">
        <f t="shared" si="20"/>
        <v>86.449999999999989</v>
      </c>
      <c r="P107" s="98">
        <f>C107*0.7</f>
        <v>1037.3999999999999</v>
      </c>
      <c r="Q107" s="98">
        <f t="shared" si="6"/>
        <v>-444.60000000000014</v>
      </c>
      <c r="R107" s="153">
        <f t="shared" si="7"/>
        <v>-0.3000000000000001</v>
      </c>
      <c r="S107" t="s">
        <v>479</v>
      </c>
      <c r="V107" s="138"/>
      <c r="W107" s="138"/>
      <c r="X107" s="138"/>
    </row>
    <row r="108" spans="1:24" x14ac:dyDescent="0.25">
      <c r="A108" s="1" t="s">
        <v>101</v>
      </c>
      <c r="B108" s="5" t="s">
        <v>102</v>
      </c>
      <c r="C108" s="99">
        <f t="shared" ref="C108:O108" si="21">$P$108/12</f>
        <v>0</v>
      </c>
      <c r="D108" s="99">
        <f t="shared" si="21"/>
        <v>0</v>
      </c>
      <c r="E108" s="99">
        <f t="shared" si="21"/>
        <v>0</v>
      </c>
      <c r="F108" s="99">
        <f t="shared" si="21"/>
        <v>0</v>
      </c>
      <c r="G108" s="99">
        <f t="shared" si="21"/>
        <v>0</v>
      </c>
      <c r="H108" s="99">
        <f t="shared" si="21"/>
        <v>0</v>
      </c>
      <c r="I108" s="99">
        <f t="shared" si="21"/>
        <v>0</v>
      </c>
      <c r="J108" s="99">
        <f t="shared" si="21"/>
        <v>0</v>
      </c>
      <c r="K108" s="99">
        <f t="shared" si="21"/>
        <v>0</v>
      </c>
      <c r="L108" s="99">
        <f t="shared" si="21"/>
        <v>0</v>
      </c>
      <c r="M108" s="99">
        <f t="shared" si="21"/>
        <v>0</v>
      </c>
      <c r="N108" s="99">
        <f t="shared" si="21"/>
        <v>0</v>
      </c>
      <c r="O108" s="99">
        <f t="shared" si="21"/>
        <v>0</v>
      </c>
      <c r="P108" s="98">
        <v>0</v>
      </c>
      <c r="Q108" s="98">
        <f t="shared" si="6"/>
        <v>0</v>
      </c>
      <c r="R108" s="153" t="str">
        <f t="shared" si="7"/>
        <v/>
      </c>
      <c r="V108" s="133"/>
    </row>
    <row r="109" spans="1:24" x14ac:dyDescent="0.25">
      <c r="A109" s="1" t="s">
        <v>103</v>
      </c>
      <c r="B109" s="5" t="s">
        <v>104</v>
      </c>
      <c r="C109" s="99">
        <v>278</v>
      </c>
      <c r="D109" s="99">
        <f>$P$109/12</f>
        <v>16.216666666666665</v>
      </c>
      <c r="E109" s="99">
        <f t="shared" ref="E109:O109" si="22">$P$109/12</f>
        <v>16.216666666666665</v>
      </c>
      <c r="F109" s="99">
        <f t="shared" si="22"/>
        <v>16.216666666666665</v>
      </c>
      <c r="G109" s="99">
        <f t="shared" si="22"/>
        <v>16.216666666666665</v>
      </c>
      <c r="H109" s="99">
        <f t="shared" si="22"/>
        <v>16.216666666666665</v>
      </c>
      <c r="I109" s="99">
        <f t="shared" si="22"/>
        <v>16.216666666666665</v>
      </c>
      <c r="J109" s="99">
        <f t="shared" si="22"/>
        <v>16.216666666666665</v>
      </c>
      <c r="K109" s="99">
        <f t="shared" si="22"/>
        <v>16.216666666666665</v>
      </c>
      <c r="L109" s="99">
        <f t="shared" si="22"/>
        <v>16.216666666666665</v>
      </c>
      <c r="M109" s="99">
        <f t="shared" si="22"/>
        <v>16.216666666666665</v>
      </c>
      <c r="N109" s="99">
        <f t="shared" si="22"/>
        <v>16.216666666666665</v>
      </c>
      <c r="O109" s="99">
        <f t="shared" si="22"/>
        <v>16.216666666666665</v>
      </c>
      <c r="P109" s="98">
        <f>C109*0.7</f>
        <v>194.6</v>
      </c>
      <c r="Q109" s="98">
        <f t="shared" si="6"/>
        <v>-83.4</v>
      </c>
      <c r="R109" s="153">
        <f t="shared" si="7"/>
        <v>-0.30000000000000004</v>
      </c>
      <c r="S109" t="s">
        <v>479</v>
      </c>
      <c r="V109" s="133"/>
      <c r="W109" s="133"/>
      <c r="X109" s="137"/>
    </row>
    <row r="110" spans="1:24" ht="15.75" thickBot="1" x14ac:dyDescent="0.3">
      <c r="A110" s="1"/>
      <c r="B110" s="5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 t="str">
        <f t="shared" si="6"/>
        <v/>
      </c>
      <c r="R110" s="153" t="str">
        <f t="shared" si="7"/>
        <v/>
      </c>
      <c r="W110" s="174"/>
    </row>
    <row r="111" spans="1:24" s="91" customFormat="1" x14ac:dyDescent="0.25">
      <c r="A111" s="6" t="s">
        <v>105</v>
      </c>
      <c r="B111" s="3" t="s">
        <v>106</v>
      </c>
      <c r="C111" s="100">
        <f t="shared" ref="C111" si="23">SUM(C105:C110)</f>
        <v>3465</v>
      </c>
      <c r="D111" s="100">
        <f t="shared" ref="D111:O111" si="24">SUM(D105:D110)</f>
        <v>202.12499999999997</v>
      </c>
      <c r="E111" s="100">
        <f t="shared" si="24"/>
        <v>202.12499999999997</v>
      </c>
      <c r="F111" s="100">
        <f t="shared" si="24"/>
        <v>274.22499999999997</v>
      </c>
      <c r="G111" s="100">
        <f t="shared" si="24"/>
        <v>216.12499999999997</v>
      </c>
      <c r="H111" s="100">
        <f t="shared" si="24"/>
        <v>202.12499999999997</v>
      </c>
      <c r="I111" s="100">
        <f t="shared" si="24"/>
        <v>202.12499999999997</v>
      </c>
      <c r="J111" s="100">
        <f t="shared" si="24"/>
        <v>284.02499999999992</v>
      </c>
      <c r="K111" s="100">
        <f t="shared" si="24"/>
        <v>256.72499999999997</v>
      </c>
      <c r="L111" s="100">
        <f t="shared" si="24"/>
        <v>202.12499999999997</v>
      </c>
      <c r="M111" s="100">
        <f t="shared" si="24"/>
        <v>202.12499999999997</v>
      </c>
      <c r="N111" s="100">
        <f t="shared" si="24"/>
        <v>202.12499999999997</v>
      </c>
      <c r="O111" s="100">
        <f t="shared" si="24"/>
        <v>202.12499999999997</v>
      </c>
      <c r="P111" s="100">
        <f>SUM(P105:P110)</f>
        <v>2648.1</v>
      </c>
      <c r="Q111" s="100">
        <f t="shared" si="6"/>
        <v>-816.90000000000009</v>
      </c>
      <c r="R111" s="153">
        <f t="shared" si="7"/>
        <v>-0.23575757575757578</v>
      </c>
    </row>
    <row r="112" spans="1:24" x14ac:dyDescent="0.25">
      <c r="A112" s="1"/>
      <c r="B112" s="5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 t="str">
        <f t="shared" si="6"/>
        <v/>
      </c>
      <c r="R112" s="153" t="str">
        <f t="shared" si="7"/>
        <v/>
      </c>
    </row>
    <row r="113" spans="1:19" x14ac:dyDescent="0.25">
      <c r="A113" s="1" t="s">
        <v>107</v>
      </c>
      <c r="B113" s="5" t="s">
        <v>108</v>
      </c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 t="str">
        <f t="shared" si="6"/>
        <v/>
      </c>
      <c r="R113" s="153" t="str">
        <f t="shared" si="7"/>
        <v/>
      </c>
    </row>
    <row r="114" spans="1:19" ht="15.75" thickBot="1" x14ac:dyDescent="0.3">
      <c r="A114" s="1" t="s">
        <v>109</v>
      </c>
      <c r="B114" s="5" t="s">
        <v>110</v>
      </c>
      <c r="C114" s="98">
        <v>179075</v>
      </c>
      <c r="D114" s="98">
        <v>14390.46</v>
      </c>
      <c r="E114" s="98">
        <v>14366.82</v>
      </c>
      <c r="F114" s="98">
        <v>14343.1</v>
      </c>
      <c r="G114" s="98">
        <v>14319.3</v>
      </c>
      <c r="H114" s="98">
        <v>14295.41</v>
      </c>
      <c r="I114" s="98">
        <v>14271.45</v>
      </c>
      <c r="J114" s="98">
        <v>14247.41</v>
      </c>
      <c r="K114" s="98">
        <v>14223.29</v>
      </c>
      <c r="L114" s="98">
        <v>14199.09</v>
      </c>
      <c r="M114" s="98">
        <v>16832.59</v>
      </c>
      <c r="N114" s="98">
        <v>16806.3</v>
      </c>
      <c r="O114" s="98">
        <v>16779.900000000001</v>
      </c>
      <c r="P114" s="98">
        <f>SUM(D114:O114)</f>
        <v>179075.11999999997</v>
      </c>
      <c r="Q114" s="98">
        <f t="shared" si="6"/>
        <v>0.11999999996623956</v>
      </c>
      <c r="R114" s="153">
        <f t="shared" si="7"/>
        <v>6.7011028879653527E-7</v>
      </c>
    </row>
    <row r="115" spans="1:19" s="91" customFormat="1" x14ac:dyDescent="0.25">
      <c r="A115" s="6" t="s">
        <v>111</v>
      </c>
      <c r="B115" s="3" t="s">
        <v>112</v>
      </c>
      <c r="C115" s="100">
        <f t="shared" ref="C115:O115" si="25">SUM(C114:C114)</f>
        <v>179075</v>
      </c>
      <c r="D115" s="100">
        <f t="shared" si="25"/>
        <v>14390.46</v>
      </c>
      <c r="E115" s="100">
        <f t="shared" si="25"/>
        <v>14366.82</v>
      </c>
      <c r="F115" s="100">
        <f t="shared" si="25"/>
        <v>14343.1</v>
      </c>
      <c r="G115" s="100">
        <f t="shared" si="25"/>
        <v>14319.3</v>
      </c>
      <c r="H115" s="100">
        <f t="shared" si="25"/>
        <v>14295.41</v>
      </c>
      <c r="I115" s="100">
        <f t="shared" si="25"/>
        <v>14271.45</v>
      </c>
      <c r="J115" s="100">
        <f t="shared" si="25"/>
        <v>14247.41</v>
      </c>
      <c r="K115" s="100">
        <f t="shared" si="25"/>
        <v>14223.29</v>
      </c>
      <c r="L115" s="100">
        <f t="shared" si="25"/>
        <v>14199.09</v>
      </c>
      <c r="M115" s="100">
        <f t="shared" si="25"/>
        <v>16832.59</v>
      </c>
      <c r="N115" s="100">
        <f t="shared" si="25"/>
        <v>16806.3</v>
      </c>
      <c r="O115" s="100">
        <f t="shared" si="25"/>
        <v>16779.900000000001</v>
      </c>
      <c r="P115" s="100">
        <f>SUM(P114:P114)</f>
        <v>179075.11999999997</v>
      </c>
      <c r="Q115" s="100">
        <f t="shared" si="6"/>
        <v>0.11999999996623956</v>
      </c>
      <c r="R115" s="153">
        <f t="shared" si="7"/>
        <v>6.7011028879653527E-7</v>
      </c>
    </row>
    <row r="116" spans="1:19" x14ac:dyDescent="0.25">
      <c r="A116" s="1"/>
      <c r="B116" s="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 t="str">
        <f t="shared" si="6"/>
        <v/>
      </c>
      <c r="R116" s="153" t="str">
        <f t="shared" si="7"/>
        <v/>
      </c>
    </row>
    <row r="117" spans="1:19" ht="15.75" thickBot="1" x14ac:dyDescent="0.3">
      <c r="A117" s="1"/>
      <c r="B117" s="5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 t="str">
        <f t="shared" si="6"/>
        <v/>
      </c>
      <c r="R117" s="153" t="str">
        <f t="shared" si="7"/>
        <v/>
      </c>
    </row>
    <row r="118" spans="1:19" s="91" customFormat="1" x14ac:dyDescent="0.25">
      <c r="A118" s="6" t="s">
        <v>113</v>
      </c>
      <c r="B118" s="3" t="s">
        <v>114</v>
      </c>
      <c r="C118" s="100">
        <f t="shared" ref="C118" si="26">SUM(C115,C111,C102,C81)</f>
        <v>554590</v>
      </c>
      <c r="D118" s="100">
        <f t="shared" ref="D118:O118" si="27">SUM(D115,D111,D102,D81)</f>
        <v>71135.068333333329</v>
      </c>
      <c r="E118" s="100">
        <f t="shared" si="27"/>
        <v>23802.278333333335</v>
      </c>
      <c r="F118" s="100">
        <f t="shared" si="27"/>
        <v>24171.658333333333</v>
      </c>
      <c r="G118" s="100">
        <f t="shared" si="27"/>
        <v>71148.908333333326</v>
      </c>
      <c r="H118" s="100">
        <f t="shared" si="27"/>
        <v>24101.868333333332</v>
      </c>
      <c r="I118" s="100">
        <f t="shared" si="27"/>
        <v>37777.908333333333</v>
      </c>
      <c r="J118" s="100">
        <f t="shared" si="27"/>
        <v>71144.918333333335</v>
      </c>
      <c r="K118" s="100">
        <f t="shared" si="27"/>
        <v>23784.348333333335</v>
      </c>
      <c r="L118" s="100">
        <f t="shared" si="27"/>
        <v>23955.548333333332</v>
      </c>
      <c r="M118" s="100">
        <f t="shared" si="27"/>
        <v>73798.198333333334</v>
      </c>
      <c r="N118" s="100">
        <f t="shared" si="27"/>
        <v>26312.758333333331</v>
      </c>
      <c r="O118" s="100">
        <f t="shared" si="27"/>
        <v>26286.358333333334</v>
      </c>
      <c r="P118" s="100">
        <f>SUM(P115,P111,P102,P81)</f>
        <v>592229.81999999995</v>
      </c>
      <c r="Q118" s="100">
        <f t="shared" si="6"/>
        <v>37639.819999999949</v>
      </c>
      <c r="R118" s="153">
        <f t="shared" si="7"/>
        <v>6.7869633422888889E-2</v>
      </c>
    </row>
    <row r="119" spans="1:19" x14ac:dyDescent="0.25">
      <c r="A119" s="1"/>
      <c r="B119" s="5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 t="str">
        <f t="shared" si="6"/>
        <v/>
      </c>
      <c r="R119" s="153" t="str">
        <f t="shared" si="7"/>
        <v/>
      </c>
    </row>
    <row r="120" spans="1:19" ht="15.75" thickBot="1" x14ac:dyDescent="0.3">
      <c r="A120" s="1"/>
      <c r="B120" s="5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 t="str">
        <f t="shared" si="6"/>
        <v/>
      </c>
      <c r="R120" s="153" t="str">
        <f t="shared" si="7"/>
        <v/>
      </c>
    </row>
    <row r="121" spans="1:19" s="91" customFormat="1" x14ac:dyDescent="0.25">
      <c r="A121" s="6" t="s">
        <v>115</v>
      </c>
      <c r="B121" s="3" t="s">
        <v>116</v>
      </c>
      <c r="C121" s="100">
        <f>-C118+C60</f>
        <v>405401</v>
      </c>
      <c r="D121" s="100">
        <f>-D118+D60</f>
        <v>21698.531666666662</v>
      </c>
      <c r="E121" s="100">
        <f>-E118+E60</f>
        <v>39169.321666666656</v>
      </c>
      <c r="F121" s="100">
        <f>-F118+F60</f>
        <v>40220.011666666658</v>
      </c>
      <c r="G121" s="100">
        <f>-G118+G60</f>
        <v>23104.761666666658</v>
      </c>
      <c r="H121" s="100">
        <f>-H118+H60</f>
        <v>40289.801666666659</v>
      </c>
      <c r="I121" s="100">
        <f>-I118+I60</f>
        <v>26613.761666666658</v>
      </c>
      <c r="J121" s="100">
        <f>-J118+J60</f>
        <v>23108.751666666649</v>
      </c>
      <c r="K121" s="100">
        <f>-K118+K60</f>
        <v>40607.321666666656</v>
      </c>
      <c r="L121" s="100">
        <f>-L118+L60</f>
        <v>40436.121666666659</v>
      </c>
      <c r="M121" s="100">
        <f>-M118+M60</f>
        <v>20455.47166666665</v>
      </c>
      <c r="N121" s="100">
        <f>-N118+N60</f>
        <v>38078.91166666666</v>
      </c>
      <c r="O121" s="100">
        <f>-O118+O60</f>
        <v>38105.311666666661</v>
      </c>
      <c r="P121" s="100">
        <f>-P118+P60</f>
        <v>297083.08000000007</v>
      </c>
      <c r="Q121" s="100">
        <f t="shared" si="6"/>
        <v>-108317.91999999993</v>
      </c>
      <c r="R121" s="153">
        <f t="shared" si="7"/>
        <v>-0.26718710609988611</v>
      </c>
    </row>
    <row r="122" spans="1:19" x14ac:dyDescent="0.25">
      <c r="A122" s="1"/>
      <c r="B122" s="5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 t="str">
        <f t="shared" si="6"/>
        <v/>
      </c>
      <c r="R122" s="153" t="str">
        <f t="shared" ref="R122:R182" si="28">IF(C122&lt;&gt;0,Q122/C122,"")</f>
        <v/>
      </c>
    </row>
    <row r="123" spans="1:19" x14ac:dyDescent="0.25">
      <c r="A123" s="1"/>
      <c r="B123" s="5" t="s">
        <v>117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 t="str">
        <f t="shared" si="6"/>
        <v/>
      </c>
      <c r="R123" s="153" t="str">
        <f t="shared" si="28"/>
        <v/>
      </c>
    </row>
    <row r="124" spans="1:19" ht="15.75" thickBot="1" x14ac:dyDescent="0.3">
      <c r="A124" s="1" t="s">
        <v>118</v>
      </c>
      <c r="B124" s="5" t="s">
        <v>119</v>
      </c>
      <c r="C124" s="99">
        <v>-128089</v>
      </c>
      <c r="D124" s="99">
        <f>-15998.61+D88</f>
        <v>29817.54</v>
      </c>
      <c r="E124" s="99">
        <f t="shared" ref="E124:O124" si="29">-15998.61+E88</f>
        <v>-15998.61</v>
      </c>
      <c r="F124" s="99">
        <f t="shared" si="29"/>
        <v>-15998.61</v>
      </c>
      <c r="G124" s="99">
        <f t="shared" si="29"/>
        <v>29817.54</v>
      </c>
      <c r="H124" s="99">
        <f t="shared" si="29"/>
        <v>-15998.61</v>
      </c>
      <c r="I124" s="99">
        <f t="shared" si="29"/>
        <v>-15998.61</v>
      </c>
      <c r="J124" s="99">
        <f t="shared" si="29"/>
        <v>29817.54</v>
      </c>
      <c r="K124" s="99">
        <f t="shared" si="29"/>
        <v>-15998.61</v>
      </c>
      <c r="L124" s="99">
        <f t="shared" si="29"/>
        <v>-15998.61</v>
      </c>
      <c r="M124" s="99">
        <f t="shared" si="29"/>
        <v>29817.54</v>
      </c>
      <c r="N124" s="99">
        <f t="shared" si="29"/>
        <v>-15998.61</v>
      </c>
      <c r="O124" s="99">
        <f t="shared" si="29"/>
        <v>-15998.61</v>
      </c>
      <c r="P124" s="98">
        <f>SUM(D124:O124)</f>
        <v>-8718.7200000000012</v>
      </c>
      <c r="Q124" s="98">
        <f t="shared" si="6"/>
        <v>119370.28</v>
      </c>
      <c r="R124" s="153">
        <f t="shared" si="28"/>
        <v>-0.93193232830297679</v>
      </c>
    </row>
    <row r="125" spans="1:19" s="91" customFormat="1" x14ac:dyDescent="0.25">
      <c r="A125" s="6" t="s">
        <v>120</v>
      </c>
      <c r="B125" s="3" t="s">
        <v>121</v>
      </c>
      <c r="C125" s="100">
        <f t="shared" ref="C125:O125" si="30">SUM(C124:C124)</f>
        <v>-128089</v>
      </c>
      <c r="D125" s="100">
        <f t="shared" si="30"/>
        <v>29817.54</v>
      </c>
      <c r="E125" s="100">
        <f t="shared" si="30"/>
        <v>-15998.61</v>
      </c>
      <c r="F125" s="100">
        <f t="shared" si="30"/>
        <v>-15998.61</v>
      </c>
      <c r="G125" s="100">
        <f t="shared" si="30"/>
        <v>29817.54</v>
      </c>
      <c r="H125" s="100">
        <f t="shared" si="30"/>
        <v>-15998.61</v>
      </c>
      <c r="I125" s="100">
        <f t="shared" si="30"/>
        <v>-15998.61</v>
      </c>
      <c r="J125" s="100">
        <f t="shared" si="30"/>
        <v>29817.54</v>
      </c>
      <c r="K125" s="100">
        <f t="shared" si="30"/>
        <v>-15998.61</v>
      </c>
      <c r="L125" s="100">
        <f t="shared" si="30"/>
        <v>-15998.61</v>
      </c>
      <c r="M125" s="100">
        <f t="shared" si="30"/>
        <v>29817.54</v>
      </c>
      <c r="N125" s="100">
        <f t="shared" si="30"/>
        <v>-15998.61</v>
      </c>
      <c r="O125" s="100">
        <f t="shared" si="30"/>
        <v>-15998.61</v>
      </c>
      <c r="P125" s="100">
        <f>SUM(P124:P124)</f>
        <v>-8718.7200000000012</v>
      </c>
      <c r="Q125" s="100">
        <f t="shared" si="6"/>
        <v>119370.28</v>
      </c>
      <c r="R125" s="153">
        <f t="shared" si="28"/>
        <v>-0.93193232830297679</v>
      </c>
    </row>
    <row r="126" spans="1:19" s="91" customFormat="1" x14ac:dyDescent="0.25">
      <c r="A126" s="6"/>
      <c r="B126" s="3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 t="str">
        <f t="shared" ref="Q126:Q185" si="31">IF(C126&lt;&gt;"",P126-C126,"")</f>
        <v/>
      </c>
      <c r="R126" s="153" t="str">
        <f t="shared" si="28"/>
        <v/>
      </c>
    </row>
    <row r="127" spans="1:19" s="142" customFormat="1" x14ac:dyDescent="0.25">
      <c r="A127" s="140"/>
      <c r="B127" s="141"/>
      <c r="C127" s="180"/>
      <c r="D127" s="180"/>
      <c r="E127" s="180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53" t="str">
        <f t="shared" si="28"/>
        <v/>
      </c>
    </row>
    <row r="128" spans="1:19" s="142" customFormat="1" x14ac:dyDescent="0.25">
      <c r="A128" s="140" t="s">
        <v>126</v>
      </c>
      <c r="B128" s="141" t="s">
        <v>127</v>
      </c>
      <c r="C128" s="143">
        <v>0</v>
      </c>
      <c r="D128" s="143">
        <v>0</v>
      </c>
      <c r="E128" s="143">
        <v>0</v>
      </c>
      <c r="F128" s="143">
        <v>3691</v>
      </c>
      <c r="G128" s="143">
        <v>0</v>
      </c>
      <c r="H128" s="143">
        <v>0</v>
      </c>
      <c r="I128" s="143">
        <v>3691</v>
      </c>
      <c r="J128" s="143">
        <v>0</v>
      </c>
      <c r="K128" s="143">
        <v>0</v>
      </c>
      <c r="L128" s="143">
        <v>3691</v>
      </c>
      <c r="M128" s="143">
        <v>0</v>
      </c>
      <c r="N128" s="143">
        <v>0</v>
      </c>
      <c r="O128" s="143">
        <v>3691</v>
      </c>
      <c r="P128" s="144">
        <f>SUM(D128:O128)</f>
        <v>14764</v>
      </c>
      <c r="Q128" s="144">
        <f t="shared" si="31"/>
        <v>14764</v>
      </c>
      <c r="R128" s="153" t="str">
        <f t="shared" si="28"/>
        <v/>
      </c>
      <c r="S128" s="145" t="s">
        <v>475</v>
      </c>
    </row>
    <row r="129" spans="1:31" s="142" customFormat="1" x14ac:dyDescent="0.25">
      <c r="A129" s="140" t="s">
        <v>277</v>
      </c>
      <c r="B129" s="141" t="s">
        <v>371</v>
      </c>
      <c r="C129" s="143">
        <v>0</v>
      </c>
      <c r="D129" s="143">
        <v>0</v>
      </c>
      <c r="E129" s="143">
        <v>0</v>
      </c>
      <c r="F129" s="143">
        <v>0</v>
      </c>
      <c r="G129" s="143">
        <v>0</v>
      </c>
      <c r="H129" s="143">
        <v>0</v>
      </c>
      <c r="I129" s="143">
        <v>0</v>
      </c>
      <c r="J129" s="143">
        <v>0</v>
      </c>
      <c r="K129" s="143">
        <v>0</v>
      </c>
      <c r="L129" s="143">
        <v>0</v>
      </c>
      <c r="M129" s="143">
        <v>0</v>
      </c>
      <c r="N129" s="143">
        <v>0</v>
      </c>
      <c r="O129" s="143">
        <v>0</v>
      </c>
      <c r="P129" s="144">
        <f>SUM(D129:O129)</f>
        <v>0</v>
      </c>
      <c r="Q129" s="144">
        <f t="shared" si="31"/>
        <v>0</v>
      </c>
      <c r="R129" s="153" t="str">
        <f t="shared" si="28"/>
        <v/>
      </c>
    </row>
    <row r="130" spans="1:31" s="142" customFormat="1" ht="15.75" thickBot="1" x14ac:dyDescent="0.3">
      <c r="A130" s="140" t="s">
        <v>134</v>
      </c>
      <c r="B130" s="141" t="s">
        <v>135</v>
      </c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>
        <f>_xlfn.IFNA(VLOOKUP(A130,'Op Budget 2016'!$C$15:$Q$53,15,FALSE),)</f>
        <v>0</v>
      </c>
      <c r="Q130" s="144" t="str">
        <f t="shared" si="31"/>
        <v/>
      </c>
      <c r="R130" s="153" t="str">
        <f t="shared" si="28"/>
        <v/>
      </c>
    </row>
    <row r="131" spans="1:31" s="145" customFormat="1" x14ac:dyDescent="0.25">
      <c r="A131" s="146" t="s">
        <v>136</v>
      </c>
      <c r="B131" s="147" t="s">
        <v>137</v>
      </c>
      <c r="C131" s="148">
        <f t="shared" ref="C131" si="32">SUM(C128:C130)</f>
        <v>0</v>
      </c>
      <c r="D131" s="148">
        <f t="shared" ref="D131:O131" si="33">SUM(D128:D130)</f>
        <v>0</v>
      </c>
      <c r="E131" s="148">
        <f>SUM(E128:E130)</f>
        <v>0</v>
      </c>
      <c r="F131" s="148">
        <f t="shared" si="33"/>
        <v>3691</v>
      </c>
      <c r="G131" s="148">
        <f t="shared" si="33"/>
        <v>0</v>
      </c>
      <c r="H131" s="148">
        <f t="shared" si="33"/>
        <v>0</v>
      </c>
      <c r="I131" s="148">
        <f t="shared" si="33"/>
        <v>3691</v>
      </c>
      <c r="J131" s="148">
        <f t="shared" si="33"/>
        <v>0</v>
      </c>
      <c r="K131" s="148">
        <f t="shared" si="33"/>
        <v>0</v>
      </c>
      <c r="L131" s="148">
        <f t="shared" si="33"/>
        <v>3691</v>
      </c>
      <c r="M131" s="148">
        <f t="shared" si="33"/>
        <v>0</v>
      </c>
      <c r="N131" s="148">
        <f t="shared" si="33"/>
        <v>0</v>
      </c>
      <c r="O131" s="148">
        <f t="shared" si="33"/>
        <v>3691</v>
      </c>
      <c r="P131" s="148">
        <f>SUM(P128:P130)</f>
        <v>14764</v>
      </c>
      <c r="Q131" s="148">
        <f t="shared" si="31"/>
        <v>14764</v>
      </c>
      <c r="R131" s="153" t="str">
        <f t="shared" si="28"/>
        <v/>
      </c>
    </row>
    <row r="132" spans="1:31" x14ac:dyDescent="0.25">
      <c r="A132" s="92"/>
      <c r="B132" s="3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 t="str">
        <f t="shared" si="31"/>
        <v/>
      </c>
      <c r="R132" s="153" t="str">
        <f t="shared" si="28"/>
        <v/>
      </c>
    </row>
    <row r="133" spans="1:31" x14ac:dyDescent="0.25">
      <c r="A133" s="92"/>
      <c r="B133" s="3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 t="str">
        <f t="shared" si="31"/>
        <v/>
      </c>
      <c r="R133" s="153" t="str">
        <f t="shared" si="28"/>
        <v/>
      </c>
    </row>
    <row r="134" spans="1:31" x14ac:dyDescent="0.25">
      <c r="A134" s="1" t="s">
        <v>130</v>
      </c>
      <c r="B134" s="5" t="s">
        <v>131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 t="str">
        <f t="shared" si="31"/>
        <v/>
      </c>
      <c r="R134" s="153" t="str">
        <f t="shared" si="28"/>
        <v/>
      </c>
    </row>
    <row r="135" spans="1:31" x14ac:dyDescent="0.25">
      <c r="A135" s="1" t="s">
        <v>132</v>
      </c>
      <c r="B135" s="5" t="s">
        <v>133</v>
      </c>
      <c r="C135" s="99">
        <v>0</v>
      </c>
      <c r="D135" s="99">
        <v>0</v>
      </c>
      <c r="E135" s="99">
        <v>0</v>
      </c>
      <c r="F135" s="99">
        <v>0</v>
      </c>
      <c r="G135" s="99">
        <v>0</v>
      </c>
      <c r="H135" s="99">
        <f>$P$135/2</f>
        <v>0</v>
      </c>
      <c r="I135" s="99">
        <f>$P$135/2</f>
        <v>0</v>
      </c>
      <c r="J135" s="99">
        <v>0</v>
      </c>
      <c r="K135" s="99">
        <v>0</v>
      </c>
      <c r="L135" s="99">
        <v>0</v>
      </c>
      <c r="M135" s="99">
        <v>0</v>
      </c>
      <c r="N135" s="99">
        <v>0</v>
      </c>
      <c r="O135" s="99">
        <v>0</v>
      </c>
      <c r="P135" s="98">
        <v>0</v>
      </c>
      <c r="Q135" s="98">
        <f t="shared" si="31"/>
        <v>0</v>
      </c>
      <c r="R135" s="153" t="str">
        <f t="shared" si="28"/>
        <v/>
      </c>
      <c r="S135" t="s">
        <v>478</v>
      </c>
    </row>
    <row r="136" spans="1:31" x14ac:dyDescent="0.25">
      <c r="A136" s="1" t="s">
        <v>277</v>
      </c>
      <c r="B136" s="5" t="s">
        <v>371</v>
      </c>
      <c r="C136" s="99">
        <v>0</v>
      </c>
      <c r="D136" s="99">
        <v>0</v>
      </c>
      <c r="E136" s="99">
        <v>0</v>
      </c>
      <c r="F136" s="99">
        <v>0</v>
      </c>
      <c r="G136" s="99">
        <v>0</v>
      </c>
      <c r="H136" s="99">
        <v>0</v>
      </c>
      <c r="I136" s="99">
        <v>0</v>
      </c>
      <c r="J136" s="99">
        <v>0</v>
      </c>
      <c r="K136" s="99">
        <v>0</v>
      </c>
      <c r="L136" s="99">
        <v>0</v>
      </c>
      <c r="M136" s="99">
        <v>0</v>
      </c>
      <c r="N136" s="99">
        <v>0</v>
      </c>
      <c r="O136" s="99">
        <v>0</v>
      </c>
      <c r="P136" s="98">
        <f>SUM(D136:O136)</f>
        <v>0</v>
      </c>
      <c r="Q136" s="98">
        <f t="shared" si="31"/>
        <v>0</v>
      </c>
      <c r="R136" s="153" t="str">
        <f t="shared" si="28"/>
        <v/>
      </c>
    </row>
    <row r="137" spans="1:31" ht="15.75" thickBot="1" x14ac:dyDescent="0.3">
      <c r="A137" s="1" t="s">
        <v>134</v>
      </c>
      <c r="B137" s="5" t="s">
        <v>135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>
        <f>_xlfn.IFNA(VLOOKUP(A137,'Op Budget 2016'!$C$15:$Q$53,15,FALSE),)</f>
        <v>0</v>
      </c>
      <c r="Q137" s="98" t="str">
        <f t="shared" si="31"/>
        <v/>
      </c>
      <c r="R137" s="153" t="str">
        <f t="shared" si="28"/>
        <v/>
      </c>
    </row>
    <row r="138" spans="1:31" s="91" customFormat="1" x14ac:dyDescent="0.25">
      <c r="A138" s="6" t="s">
        <v>136</v>
      </c>
      <c r="B138" s="3" t="s">
        <v>137</v>
      </c>
      <c r="C138" s="100">
        <f t="shared" ref="C138" si="34">SUM(C135:C137)</f>
        <v>0</v>
      </c>
      <c r="D138" s="100">
        <f t="shared" ref="D138:O138" si="35">SUM(D135:D137)</f>
        <v>0</v>
      </c>
      <c r="E138" s="100">
        <f t="shared" si="35"/>
        <v>0</v>
      </c>
      <c r="F138" s="100">
        <f t="shared" si="35"/>
        <v>0</v>
      </c>
      <c r="G138" s="100">
        <f t="shared" si="35"/>
        <v>0</v>
      </c>
      <c r="H138" s="100">
        <f t="shared" si="35"/>
        <v>0</v>
      </c>
      <c r="I138" s="100">
        <f t="shared" si="35"/>
        <v>0</v>
      </c>
      <c r="J138" s="100">
        <f t="shared" si="35"/>
        <v>0</v>
      </c>
      <c r="K138" s="100">
        <f t="shared" si="35"/>
        <v>0</v>
      </c>
      <c r="L138" s="100">
        <f t="shared" si="35"/>
        <v>0</v>
      </c>
      <c r="M138" s="100">
        <f t="shared" si="35"/>
        <v>0</v>
      </c>
      <c r="N138" s="100">
        <f t="shared" si="35"/>
        <v>0</v>
      </c>
      <c r="O138" s="100">
        <f t="shared" si="35"/>
        <v>0</v>
      </c>
      <c r="P138" s="100">
        <f>SUM(P135:P137)</f>
        <v>0</v>
      </c>
      <c r="Q138" s="100">
        <f t="shared" si="31"/>
        <v>0</v>
      </c>
      <c r="R138" s="153" t="str">
        <f t="shared" si="28"/>
        <v/>
      </c>
    </row>
    <row r="139" spans="1:31" ht="15.75" thickBot="1" x14ac:dyDescent="0.3">
      <c r="A139" s="1"/>
      <c r="B139" s="5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 t="str">
        <f t="shared" si="31"/>
        <v/>
      </c>
      <c r="R139" s="153" t="str">
        <f t="shared" si="28"/>
        <v/>
      </c>
    </row>
    <row r="140" spans="1:31" s="91" customFormat="1" x14ac:dyDescent="0.25">
      <c r="A140" s="6" t="s">
        <v>138</v>
      </c>
      <c r="B140" s="3" t="s">
        <v>139</v>
      </c>
      <c r="C140" s="100">
        <f>SUM(C138,C131,C125)</f>
        <v>-128089</v>
      </c>
      <c r="D140" s="100">
        <f>SUM(D138,D131,D125)</f>
        <v>29817.54</v>
      </c>
      <c r="E140" s="100">
        <f t="shared" ref="E140:P140" si="36">SUM(E138,E131,E125)</f>
        <v>-15998.61</v>
      </c>
      <c r="F140" s="100">
        <f t="shared" si="36"/>
        <v>-12307.61</v>
      </c>
      <c r="G140" s="100">
        <f t="shared" si="36"/>
        <v>29817.54</v>
      </c>
      <c r="H140" s="100">
        <f t="shared" si="36"/>
        <v>-15998.61</v>
      </c>
      <c r="I140" s="100">
        <f t="shared" si="36"/>
        <v>-12307.61</v>
      </c>
      <c r="J140" s="100">
        <f t="shared" si="36"/>
        <v>29817.54</v>
      </c>
      <c r="K140" s="100">
        <f t="shared" si="36"/>
        <v>-15998.61</v>
      </c>
      <c r="L140" s="100">
        <f t="shared" si="36"/>
        <v>-12307.61</v>
      </c>
      <c r="M140" s="100">
        <f t="shared" si="36"/>
        <v>29817.54</v>
      </c>
      <c r="N140" s="100">
        <f t="shared" si="36"/>
        <v>-15998.61</v>
      </c>
      <c r="O140" s="100">
        <f t="shared" si="36"/>
        <v>-12307.61</v>
      </c>
      <c r="P140" s="100">
        <f t="shared" si="36"/>
        <v>6045.2799999999988</v>
      </c>
      <c r="Q140" s="100">
        <f t="shared" si="31"/>
        <v>134134.28</v>
      </c>
      <c r="R140" s="153">
        <f t="shared" si="28"/>
        <v>-1.0471959340770871</v>
      </c>
    </row>
    <row r="141" spans="1:31" x14ac:dyDescent="0.25">
      <c r="A141" s="1"/>
      <c r="B141" s="5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 t="str">
        <f t="shared" si="31"/>
        <v/>
      </c>
      <c r="R141" s="153" t="str">
        <f t="shared" si="28"/>
        <v/>
      </c>
    </row>
    <row r="142" spans="1:31" x14ac:dyDescent="0.25">
      <c r="A142" s="1" t="s">
        <v>140</v>
      </c>
      <c r="B142" s="5" t="s">
        <v>141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 t="str">
        <f t="shared" si="31"/>
        <v/>
      </c>
      <c r="R142" s="153" t="str">
        <f t="shared" si="28"/>
        <v/>
      </c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</row>
    <row r="143" spans="1:31" x14ac:dyDescent="0.25">
      <c r="A143" s="1" t="s">
        <v>271</v>
      </c>
      <c r="B143" s="5" t="s">
        <v>370</v>
      </c>
      <c r="C143" s="98">
        <v>-84700</v>
      </c>
      <c r="D143" s="98">
        <v>-7093.23</v>
      </c>
      <c r="E143" s="98">
        <v>-7116.869999999999</v>
      </c>
      <c r="F143" s="98">
        <v>-7140.5899999999983</v>
      </c>
      <c r="G143" s="98">
        <v>-7164.3899999999994</v>
      </c>
      <c r="H143" s="98">
        <v>-7188.2799999999988</v>
      </c>
      <c r="I143" s="98">
        <v>-7212.239999999998</v>
      </c>
      <c r="J143" s="98">
        <v>-7236.2799999999988</v>
      </c>
      <c r="K143" s="98">
        <v>-7260.3999999999978</v>
      </c>
      <c r="L143" s="98">
        <v>-7284.5999999999985</v>
      </c>
      <c r="M143" s="98">
        <v>-6641.5400000000009</v>
      </c>
      <c r="N143" s="98">
        <v>-6667.8300000000017</v>
      </c>
      <c r="O143" s="98">
        <v>-6694.23</v>
      </c>
      <c r="P143" s="98">
        <f>SUM(D143:O143)</f>
        <v>-84700.479999999981</v>
      </c>
      <c r="Q143" s="98">
        <f t="shared" si="31"/>
        <v>-0.47999999998137355</v>
      </c>
      <c r="R143" s="153">
        <f t="shared" si="28"/>
        <v>5.6670602122948467E-6</v>
      </c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</row>
    <row r="144" spans="1:31" ht="15.75" thickBot="1" x14ac:dyDescent="0.3">
      <c r="A144" s="1" t="s">
        <v>144</v>
      </c>
      <c r="B144" s="5" t="s">
        <v>145</v>
      </c>
      <c r="C144" s="99"/>
      <c r="D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8">
        <f t="shared" ref="P144" si="37">SUM(D144:O144)</f>
        <v>0</v>
      </c>
      <c r="Q144" s="98" t="str">
        <f t="shared" si="31"/>
        <v/>
      </c>
      <c r="R144" s="153" t="str">
        <f t="shared" si="28"/>
        <v/>
      </c>
      <c r="S144" s="5"/>
    </row>
    <row r="145" spans="1:18" s="91" customFormat="1" x14ac:dyDescent="0.25">
      <c r="A145" s="6" t="s">
        <v>146</v>
      </c>
      <c r="B145" s="3" t="s">
        <v>147</v>
      </c>
      <c r="C145" s="100">
        <f t="shared" ref="C145:P145" si="38">SUM(C143:C144)</f>
        <v>-84700</v>
      </c>
      <c r="D145" s="100">
        <f t="shared" si="38"/>
        <v>-7093.23</v>
      </c>
      <c r="E145" s="100">
        <f t="shared" si="38"/>
        <v>-7116.869999999999</v>
      </c>
      <c r="F145" s="100">
        <f t="shared" si="38"/>
        <v>-7140.5899999999983</v>
      </c>
      <c r="G145" s="100">
        <f t="shared" si="38"/>
        <v>-7164.3899999999994</v>
      </c>
      <c r="H145" s="100">
        <f t="shared" si="38"/>
        <v>-7188.2799999999988</v>
      </c>
      <c r="I145" s="100">
        <f t="shared" si="38"/>
        <v>-7212.239999999998</v>
      </c>
      <c r="J145" s="100">
        <f t="shared" si="38"/>
        <v>-7236.2799999999988</v>
      </c>
      <c r="K145" s="100">
        <f t="shared" si="38"/>
        <v>-7260.3999999999978</v>
      </c>
      <c r="L145" s="100">
        <f t="shared" si="38"/>
        <v>-7284.5999999999985</v>
      </c>
      <c r="M145" s="100">
        <f t="shared" si="38"/>
        <v>-6641.5400000000009</v>
      </c>
      <c r="N145" s="100">
        <f t="shared" si="38"/>
        <v>-6667.8300000000017</v>
      </c>
      <c r="O145" s="100">
        <f t="shared" si="38"/>
        <v>-6694.23</v>
      </c>
      <c r="P145" s="100">
        <f t="shared" si="38"/>
        <v>-84700.479999999981</v>
      </c>
      <c r="Q145" s="100">
        <f t="shared" si="31"/>
        <v>-0.47999999998137355</v>
      </c>
      <c r="R145" s="153">
        <f t="shared" si="28"/>
        <v>5.6670602122948467E-6</v>
      </c>
    </row>
    <row r="146" spans="1:18" x14ac:dyDescent="0.25">
      <c r="A146" s="1"/>
      <c r="B146" s="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98"/>
      <c r="Q146" s="98" t="str">
        <f t="shared" si="31"/>
        <v/>
      </c>
      <c r="R146" s="153" t="str">
        <f t="shared" si="28"/>
        <v/>
      </c>
    </row>
    <row r="147" spans="1:18" ht="15.75" thickBot="1" x14ac:dyDescent="0.3">
      <c r="A147" s="1" t="s">
        <v>148</v>
      </c>
      <c r="B147" s="5" t="s">
        <v>149</v>
      </c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 t="str">
        <f t="shared" si="31"/>
        <v/>
      </c>
      <c r="R147" s="153" t="str">
        <f t="shared" si="28"/>
        <v/>
      </c>
    </row>
    <row r="148" spans="1:18" hidden="1" outlineLevel="1" x14ac:dyDescent="0.25">
      <c r="A148" s="7" t="s">
        <v>409</v>
      </c>
      <c r="B148" s="5" t="s">
        <v>410</v>
      </c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 t="str">
        <f t="shared" si="31"/>
        <v/>
      </c>
      <c r="R148" s="153" t="str">
        <f t="shared" si="28"/>
        <v/>
      </c>
    </row>
    <row r="149" spans="1:18" hidden="1" outlineLevel="1" x14ac:dyDescent="0.25">
      <c r="A149" s="7" t="s">
        <v>411</v>
      </c>
      <c r="B149" s="5" t="s">
        <v>412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 t="str">
        <f t="shared" si="31"/>
        <v/>
      </c>
      <c r="R149" s="153" t="str">
        <f t="shared" si="28"/>
        <v/>
      </c>
    </row>
    <row r="150" spans="1:18" hidden="1" outlineLevel="1" x14ac:dyDescent="0.25">
      <c r="A150" s="7" t="s">
        <v>150</v>
      </c>
      <c r="B150" s="5" t="s">
        <v>413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 t="str">
        <f t="shared" si="31"/>
        <v/>
      </c>
      <c r="R150" s="153" t="str">
        <f t="shared" si="28"/>
        <v/>
      </c>
    </row>
    <row r="151" spans="1:18" hidden="1" outlineLevel="1" x14ac:dyDescent="0.25">
      <c r="A151" s="7" t="s">
        <v>151</v>
      </c>
      <c r="B151" s="5" t="s">
        <v>414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 t="str">
        <f t="shared" si="31"/>
        <v/>
      </c>
      <c r="R151" s="153" t="str">
        <f t="shared" si="28"/>
        <v/>
      </c>
    </row>
    <row r="152" spans="1:18" hidden="1" outlineLevel="1" x14ac:dyDescent="0.25">
      <c r="A152" s="7" t="s">
        <v>152</v>
      </c>
      <c r="B152" s="5" t="s">
        <v>415</v>
      </c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 t="str">
        <f t="shared" si="31"/>
        <v/>
      </c>
      <c r="R152" s="153" t="str">
        <f t="shared" si="28"/>
        <v/>
      </c>
    </row>
    <row r="153" spans="1:18" hidden="1" outlineLevel="1" x14ac:dyDescent="0.25">
      <c r="A153" s="7" t="s">
        <v>416</v>
      </c>
      <c r="B153" s="5" t="s">
        <v>417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 t="str">
        <f t="shared" si="31"/>
        <v/>
      </c>
      <c r="R153" s="153" t="str">
        <f t="shared" si="28"/>
        <v/>
      </c>
    </row>
    <row r="154" spans="1:18" hidden="1" outlineLevel="1" x14ac:dyDescent="0.25">
      <c r="A154" s="7" t="s">
        <v>418</v>
      </c>
      <c r="B154" s="5" t="s">
        <v>419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 t="str">
        <f t="shared" si="31"/>
        <v/>
      </c>
      <c r="R154" s="153" t="str">
        <f t="shared" si="28"/>
        <v/>
      </c>
    </row>
    <row r="155" spans="1:18" hidden="1" outlineLevel="1" x14ac:dyDescent="0.25">
      <c r="A155" s="7" t="s">
        <v>420</v>
      </c>
      <c r="B155" s="5" t="s">
        <v>421</v>
      </c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 t="str">
        <f t="shared" si="31"/>
        <v/>
      </c>
      <c r="R155" s="153" t="str">
        <f t="shared" si="28"/>
        <v/>
      </c>
    </row>
    <row r="156" spans="1:18" hidden="1" outlineLevel="1" x14ac:dyDescent="0.25">
      <c r="A156" s="7" t="s">
        <v>422</v>
      </c>
      <c r="B156" s="5" t="s">
        <v>423</v>
      </c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 t="str">
        <f t="shared" si="31"/>
        <v/>
      </c>
      <c r="R156" s="153" t="str">
        <f t="shared" si="28"/>
        <v/>
      </c>
    </row>
    <row r="157" spans="1:18" hidden="1" outlineLevel="1" x14ac:dyDescent="0.25">
      <c r="A157" s="7" t="s">
        <v>424</v>
      </c>
      <c r="B157" s="5" t="s">
        <v>425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 t="str">
        <f t="shared" si="31"/>
        <v/>
      </c>
      <c r="R157" s="153" t="str">
        <f t="shared" si="28"/>
        <v/>
      </c>
    </row>
    <row r="158" spans="1:18" hidden="1" outlineLevel="1" x14ac:dyDescent="0.25">
      <c r="A158" s="7" t="s">
        <v>426</v>
      </c>
      <c r="B158" s="5" t="s">
        <v>427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 t="str">
        <f t="shared" si="31"/>
        <v/>
      </c>
      <c r="R158" s="153" t="str">
        <f t="shared" si="28"/>
        <v/>
      </c>
    </row>
    <row r="159" spans="1:18" hidden="1" outlineLevel="1" x14ac:dyDescent="0.25">
      <c r="A159" s="7" t="s">
        <v>428</v>
      </c>
      <c r="B159" s="5" t="s">
        <v>429</v>
      </c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 t="str">
        <f t="shared" si="31"/>
        <v/>
      </c>
      <c r="R159" s="153" t="str">
        <f t="shared" si="28"/>
        <v/>
      </c>
    </row>
    <row r="160" spans="1:18" hidden="1" outlineLevel="1" x14ac:dyDescent="0.25">
      <c r="A160" s="7" t="s">
        <v>430</v>
      </c>
      <c r="B160" s="5" t="s">
        <v>431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 t="str">
        <f t="shared" si="31"/>
        <v/>
      </c>
      <c r="R160" s="153" t="str">
        <f t="shared" si="28"/>
        <v/>
      </c>
    </row>
    <row r="161" spans="1:28" hidden="1" outlineLevel="1" x14ac:dyDescent="0.25">
      <c r="A161" s="7" t="s">
        <v>432</v>
      </c>
      <c r="B161" s="5" t="s">
        <v>433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 t="str">
        <f t="shared" si="31"/>
        <v/>
      </c>
      <c r="R161" s="153" t="str">
        <f t="shared" si="28"/>
        <v/>
      </c>
    </row>
    <row r="162" spans="1:28" hidden="1" outlineLevel="1" x14ac:dyDescent="0.25">
      <c r="A162" s="7" t="s">
        <v>434</v>
      </c>
      <c r="B162" s="5" t="s">
        <v>435</v>
      </c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 t="str">
        <f t="shared" si="31"/>
        <v/>
      </c>
      <c r="R162" s="153" t="str">
        <f t="shared" si="28"/>
        <v/>
      </c>
    </row>
    <row r="163" spans="1:28" hidden="1" outlineLevel="1" x14ac:dyDescent="0.25">
      <c r="A163" s="7" t="s">
        <v>436</v>
      </c>
      <c r="B163" s="5" t="s">
        <v>437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 t="str">
        <f t="shared" si="31"/>
        <v/>
      </c>
      <c r="R163" s="153" t="str">
        <f t="shared" si="28"/>
        <v/>
      </c>
    </row>
    <row r="164" spans="1:28" hidden="1" outlineLevel="1" x14ac:dyDescent="0.25">
      <c r="A164" s="7" t="s">
        <v>438</v>
      </c>
      <c r="B164" s="5" t="s">
        <v>439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 t="str">
        <f t="shared" si="31"/>
        <v/>
      </c>
      <c r="R164" s="153" t="str">
        <f t="shared" si="28"/>
        <v/>
      </c>
    </row>
    <row r="165" spans="1:28" ht="15.75" hidden="1" outlineLevel="1" thickBot="1" x14ac:dyDescent="0.3">
      <c r="A165" s="7" t="s">
        <v>440</v>
      </c>
      <c r="B165" s="5" t="s">
        <v>441</v>
      </c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 t="str">
        <f t="shared" si="31"/>
        <v/>
      </c>
      <c r="R165" s="153" t="str">
        <f t="shared" si="28"/>
        <v/>
      </c>
    </row>
    <row r="166" spans="1:28" s="91" customFormat="1" collapsed="1" x14ac:dyDescent="0.25">
      <c r="A166" s="6" t="s">
        <v>153</v>
      </c>
      <c r="B166" s="3" t="s">
        <v>154</v>
      </c>
      <c r="C166" s="100">
        <f t="shared" ref="C166:P166" si="39">SUM(C148:C165)</f>
        <v>0</v>
      </c>
      <c r="D166" s="100">
        <f t="shared" si="39"/>
        <v>0</v>
      </c>
      <c r="E166" s="100">
        <f t="shared" si="39"/>
        <v>0</v>
      </c>
      <c r="F166" s="100">
        <f t="shared" si="39"/>
        <v>0</v>
      </c>
      <c r="G166" s="100">
        <f t="shared" si="39"/>
        <v>0</v>
      </c>
      <c r="H166" s="100">
        <f t="shared" si="39"/>
        <v>0</v>
      </c>
      <c r="I166" s="100">
        <f t="shared" si="39"/>
        <v>0</v>
      </c>
      <c r="J166" s="100">
        <f t="shared" si="39"/>
        <v>0</v>
      </c>
      <c r="K166" s="100">
        <f t="shared" si="39"/>
        <v>0</v>
      </c>
      <c r="L166" s="100">
        <f t="shared" si="39"/>
        <v>0</v>
      </c>
      <c r="M166" s="100">
        <f t="shared" si="39"/>
        <v>0</v>
      </c>
      <c r="N166" s="100">
        <f t="shared" si="39"/>
        <v>0</v>
      </c>
      <c r="O166" s="100">
        <f t="shared" si="39"/>
        <v>0</v>
      </c>
      <c r="P166" s="100">
        <f t="shared" si="39"/>
        <v>0</v>
      </c>
      <c r="Q166" s="100">
        <f t="shared" si="31"/>
        <v>0</v>
      </c>
      <c r="R166" s="153" t="str">
        <f t="shared" si="28"/>
        <v/>
      </c>
    </row>
    <row r="167" spans="1:28" x14ac:dyDescent="0.25">
      <c r="A167" s="1"/>
      <c r="B167" s="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 t="str">
        <f t="shared" si="31"/>
        <v/>
      </c>
      <c r="R167" s="153" t="str">
        <f t="shared" si="28"/>
        <v/>
      </c>
    </row>
    <row r="168" spans="1:28" x14ac:dyDescent="0.25">
      <c r="A168" s="1" t="s">
        <v>155</v>
      </c>
      <c r="B168" s="5" t="s">
        <v>156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 t="str">
        <f t="shared" si="31"/>
        <v/>
      </c>
      <c r="R168" s="153" t="str">
        <f t="shared" si="28"/>
        <v/>
      </c>
    </row>
    <row r="169" spans="1:28" outlineLevel="1" x14ac:dyDescent="0.25">
      <c r="A169" s="156" t="s">
        <v>503</v>
      </c>
      <c r="B169" s="5" t="s">
        <v>504</v>
      </c>
      <c r="C169" s="98">
        <v>-25411.200000000001</v>
      </c>
      <c r="D169" s="98">
        <f>VLOOKUP($A$169,Distributions!$A$4:$F$17,6,FALSE)</f>
        <v>-2117.6</v>
      </c>
      <c r="E169" s="98">
        <f>VLOOKUP($A$169,Distributions!$A$4:$F$17,6,FALSE)</f>
        <v>-2117.6</v>
      </c>
      <c r="F169" s="98">
        <f>VLOOKUP($A$169,Distributions!$A$4:$F$17,6,FALSE)</f>
        <v>-2117.6</v>
      </c>
      <c r="G169" s="98">
        <f>VLOOKUP($A$169,Distributions!$A$4:$F$17,6,FALSE)</f>
        <v>-2117.6</v>
      </c>
      <c r="H169" s="98">
        <f>VLOOKUP($A$169,Distributions!$A$4:$F$17,6,FALSE)</f>
        <v>-2117.6</v>
      </c>
      <c r="I169" s="98">
        <f>VLOOKUP($A$169,Distributions!$A$4:$F$17,6,FALSE)</f>
        <v>-2117.6</v>
      </c>
      <c r="J169" s="98">
        <f>VLOOKUP($A$169,Distributions!$A$4:$F$17,6,FALSE)</f>
        <v>-2117.6</v>
      </c>
      <c r="K169" s="98">
        <f>VLOOKUP($A$169,Distributions!$A$4:$F$17,6,FALSE)</f>
        <v>-2117.6</v>
      </c>
      <c r="L169" s="98">
        <f>VLOOKUP($A$169,Distributions!$A$4:$F$17,6,FALSE)</f>
        <v>-2117.6</v>
      </c>
      <c r="M169" s="98">
        <f>VLOOKUP($A$169,Distributions!$A$4:$F$17,6,FALSE)</f>
        <v>-2117.6</v>
      </c>
      <c r="N169" s="98">
        <f>VLOOKUP($A$169,Distributions!$A$4:$F$17,6,FALSE)</f>
        <v>-2117.6</v>
      </c>
      <c r="O169" s="98">
        <f>VLOOKUP($A$169,Distributions!$A$4:$F$17,6,FALSE)</f>
        <v>-2117.6</v>
      </c>
      <c r="P169" s="98">
        <f t="shared" ref="P169:P182" si="40">SUM(D169:O169)</f>
        <v>-25411.199999999993</v>
      </c>
      <c r="Q169" s="98">
        <f t="shared" si="31"/>
        <v>7.2759576141834259E-12</v>
      </c>
      <c r="R169" s="153">
        <f t="shared" si="28"/>
        <v>-2.863287689752324E-16</v>
      </c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</row>
    <row r="170" spans="1:28" outlineLevel="1" x14ac:dyDescent="0.25">
      <c r="A170" s="156" t="s">
        <v>483</v>
      </c>
      <c r="B170" s="5" t="s">
        <v>484</v>
      </c>
      <c r="C170" s="98">
        <v>-16941.599999999999</v>
      </c>
      <c r="D170" s="98">
        <f>VLOOKUP($A$170,Distributions!$A$4:$F$17,6,FALSE)</f>
        <v>-1411.8</v>
      </c>
      <c r="E170" s="98">
        <f>VLOOKUP($A$170,Distributions!$A$4:$F$17,6,FALSE)</f>
        <v>-1411.8</v>
      </c>
      <c r="F170" s="98">
        <f>VLOOKUP($A$170,Distributions!$A$4:$F$17,6,FALSE)</f>
        <v>-1411.8</v>
      </c>
      <c r="G170" s="98">
        <f>VLOOKUP($A$170,Distributions!$A$4:$F$17,6,FALSE)</f>
        <v>-1411.8</v>
      </c>
      <c r="H170" s="98">
        <f>VLOOKUP($A$170,Distributions!$A$4:$F$17,6,FALSE)</f>
        <v>-1411.8</v>
      </c>
      <c r="I170" s="98">
        <f>VLOOKUP($A$170,Distributions!$A$4:$F$17,6,FALSE)</f>
        <v>-1411.8</v>
      </c>
      <c r="J170" s="98">
        <f>VLOOKUP($A$170,Distributions!$A$4:$F$17,6,FALSE)</f>
        <v>-1411.8</v>
      </c>
      <c r="K170" s="98">
        <f>VLOOKUP($A$170,Distributions!$A$4:$F$17,6,FALSE)</f>
        <v>-1411.8</v>
      </c>
      <c r="L170" s="98">
        <f>VLOOKUP($A$170,Distributions!$A$4:$F$17,6,FALSE)</f>
        <v>-1411.8</v>
      </c>
      <c r="M170" s="98">
        <f>VLOOKUP($A$170,Distributions!$A$4:$F$17,6,FALSE)</f>
        <v>-1411.8</v>
      </c>
      <c r="N170" s="98">
        <f>VLOOKUP($A$170,Distributions!$A$4:$F$17,6,FALSE)</f>
        <v>-1411.8</v>
      </c>
      <c r="O170" s="98">
        <f>VLOOKUP($A$170,Distributions!$A$4:$F$17,6,FALSE)</f>
        <v>-1411.8</v>
      </c>
      <c r="P170" s="98">
        <f t="shared" si="40"/>
        <v>-16941.599999999995</v>
      </c>
      <c r="Q170" s="98">
        <f t="shared" si="31"/>
        <v>3.637978807091713E-12</v>
      </c>
      <c r="R170" s="153">
        <f t="shared" si="28"/>
        <v>-2.1473643617437039E-16</v>
      </c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</row>
    <row r="171" spans="1:28" outlineLevel="1" x14ac:dyDescent="0.25">
      <c r="A171" s="156" t="s">
        <v>505</v>
      </c>
      <c r="B171" s="5" t="s">
        <v>506</v>
      </c>
      <c r="C171" s="98">
        <v>-16941.599999999999</v>
      </c>
      <c r="D171" s="98">
        <f>VLOOKUP($A$171,Distributions!$A$4:$F$17,6,FALSE)</f>
        <v>-1411.8</v>
      </c>
      <c r="E171" s="98">
        <f>VLOOKUP($A$171,Distributions!$A$4:$F$17,6,FALSE)</f>
        <v>-1411.8</v>
      </c>
      <c r="F171" s="98">
        <f>VLOOKUP($A$171,Distributions!$A$4:$F$17,6,FALSE)</f>
        <v>-1411.8</v>
      </c>
      <c r="G171" s="98">
        <f>VLOOKUP($A$171,Distributions!$A$4:$F$17,6,FALSE)</f>
        <v>-1411.8</v>
      </c>
      <c r="H171" s="98">
        <f>VLOOKUP($A$171,Distributions!$A$4:$F$17,6,FALSE)</f>
        <v>-1411.8</v>
      </c>
      <c r="I171" s="98">
        <f>VLOOKUP($A$171,Distributions!$A$4:$F$17,6,FALSE)</f>
        <v>-1411.8</v>
      </c>
      <c r="J171" s="98">
        <f>VLOOKUP($A$171,Distributions!$A$4:$F$17,6,FALSE)</f>
        <v>-1411.8</v>
      </c>
      <c r="K171" s="98">
        <f>VLOOKUP($A$171,Distributions!$A$4:$F$17,6,FALSE)</f>
        <v>-1411.8</v>
      </c>
      <c r="L171" s="98">
        <f>VLOOKUP($A$171,Distributions!$A$4:$F$17,6,FALSE)</f>
        <v>-1411.8</v>
      </c>
      <c r="M171" s="98">
        <f>VLOOKUP($A$171,Distributions!$A$4:$F$17,6,FALSE)</f>
        <v>-1411.8</v>
      </c>
      <c r="N171" s="98">
        <f>VLOOKUP($A$171,Distributions!$A$4:$F$17,6,FALSE)</f>
        <v>-1411.8</v>
      </c>
      <c r="O171" s="98">
        <f>VLOOKUP($A$171,Distributions!$A$4:$F$17,6,FALSE)</f>
        <v>-1411.8</v>
      </c>
      <c r="P171" s="98">
        <f t="shared" si="40"/>
        <v>-16941.599999999995</v>
      </c>
      <c r="Q171" s="98">
        <f t="shared" si="31"/>
        <v>3.637978807091713E-12</v>
      </c>
      <c r="R171" s="153">
        <f t="shared" si="28"/>
        <v>-2.1473643617437039E-16</v>
      </c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</row>
    <row r="172" spans="1:28" outlineLevel="1" x14ac:dyDescent="0.25">
      <c r="A172" s="156" t="s">
        <v>507</v>
      </c>
      <c r="B172" s="5" t="s">
        <v>508</v>
      </c>
      <c r="C172" s="98">
        <v>-16941.599999999999</v>
      </c>
      <c r="D172" s="98">
        <f>VLOOKUP($A$172,Distributions!$A$4:$F$17,6,FALSE)</f>
        <v>-1411.8</v>
      </c>
      <c r="E172" s="98">
        <f>VLOOKUP($A$172,Distributions!$A$4:$F$17,6,FALSE)</f>
        <v>-1411.8</v>
      </c>
      <c r="F172" s="98">
        <f>VLOOKUP($A$172,Distributions!$A$4:$F$17,6,FALSE)</f>
        <v>-1411.8</v>
      </c>
      <c r="G172" s="98">
        <f>VLOOKUP($A$172,Distributions!$A$4:$F$17,6,FALSE)</f>
        <v>-1411.8</v>
      </c>
      <c r="H172" s="98">
        <f>VLOOKUP($A$172,Distributions!$A$4:$F$17,6,FALSE)</f>
        <v>-1411.8</v>
      </c>
      <c r="I172" s="98">
        <f>VLOOKUP($A$172,Distributions!$A$4:$F$17,6,FALSE)</f>
        <v>-1411.8</v>
      </c>
      <c r="J172" s="98">
        <f>VLOOKUP($A$172,Distributions!$A$4:$F$17,6,FALSE)</f>
        <v>-1411.8</v>
      </c>
      <c r="K172" s="98">
        <f>VLOOKUP($A$172,Distributions!$A$4:$F$17,6,FALSE)</f>
        <v>-1411.8</v>
      </c>
      <c r="L172" s="98">
        <f>VLOOKUP($A$172,Distributions!$A$4:$F$17,6,FALSE)</f>
        <v>-1411.8</v>
      </c>
      <c r="M172" s="98">
        <f>VLOOKUP($A$172,Distributions!$A$4:$F$17,6,FALSE)</f>
        <v>-1411.8</v>
      </c>
      <c r="N172" s="98">
        <f>VLOOKUP($A$172,Distributions!$A$4:$F$17,6,FALSE)</f>
        <v>-1411.8</v>
      </c>
      <c r="O172" s="98">
        <f>VLOOKUP($A$172,Distributions!$A$4:$F$17,6,FALSE)</f>
        <v>-1411.8</v>
      </c>
      <c r="P172" s="98">
        <f t="shared" si="40"/>
        <v>-16941.599999999995</v>
      </c>
      <c r="Q172" s="98">
        <f t="shared" si="31"/>
        <v>3.637978807091713E-12</v>
      </c>
      <c r="R172" s="153">
        <f t="shared" si="28"/>
        <v>-2.1473643617437039E-16</v>
      </c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</row>
    <row r="173" spans="1:28" outlineLevel="1" x14ac:dyDescent="0.25">
      <c r="A173" s="156" t="s">
        <v>509</v>
      </c>
      <c r="B173" s="5" t="s">
        <v>510</v>
      </c>
      <c r="C173" s="98">
        <v>-16941.599999999999</v>
      </c>
      <c r="D173" s="98">
        <f>VLOOKUP($A$173,Distributions!$A$4:$F$17,6,FALSE)</f>
        <v>-1411.8</v>
      </c>
      <c r="E173" s="98">
        <f>VLOOKUP($A$173,Distributions!$A$4:$F$17,6,FALSE)</f>
        <v>-1411.8</v>
      </c>
      <c r="F173" s="98">
        <f>VLOOKUP($A$173,Distributions!$A$4:$F$17,6,FALSE)</f>
        <v>-1411.8</v>
      </c>
      <c r="G173" s="98">
        <f>VLOOKUP($A$173,Distributions!$A$4:$F$17,6,FALSE)</f>
        <v>-1411.8</v>
      </c>
      <c r="H173" s="98">
        <f>VLOOKUP($A$173,Distributions!$A$4:$F$17,6,FALSE)</f>
        <v>-1411.8</v>
      </c>
      <c r="I173" s="98">
        <f>VLOOKUP($A$173,Distributions!$A$4:$F$17,6,FALSE)</f>
        <v>-1411.8</v>
      </c>
      <c r="J173" s="98">
        <f>VLOOKUP($A$173,Distributions!$A$4:$F$17,6,FALSE)</f>
        <v>-1411.8</v>
      </c>
      <c r="K173" s="98">
        <f>VLOOKUP($A$173,Distributions!$A$4:$F$17,6,FALSE)</f>
        <v>-1411.8</v>
      </c>
      <c r="L173" s="98">
        <f>VLOOKUP($A$173,Distributions!$A$4:$F$17,6,FALSE)</f>
        <v>-1411.8</v>
      </c>
      <c r="M173" s="98">
        <f>VLOOKUP($A$173,Distributions!$A$4:$F$17,6,FALSE)</f>
        <v>-1411.8</v>
      </c>
      <c r="N173" s="98">
        <f>VLOOKUP($A$173,Distributions!$A$4:$F$17,6,FALSE)</f>
        <v>-1411.8</v>
      </c>
      <c r="O173" s="98">
        <f>VLOOKUP($A$173,Distributions!$A$4:$F$17,6,FALSE)</f>
        <v>-1411.8</v>
      </c>
      <c r="P173" s="98">
        <f t="shared" si="40"/>
        <v>-16941.599999999995</v>
      </c>
      <c r="Q173" s="98">
        <f t="shared" si="31"/>
        <v>3.637978807091713E-12</v>
      </c>
      <c r="R173" s="153">
        <f t="shared" si="28"/>
        <v>-2.1473643617437039E-16</v>
      </c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</row>
    <row r="174" spans="1:28" outlineLevel="1" x14ac:dyDescent="0.25">
      <c r="A174" s="166" t="s">
        <v>157</v>
      </c>
      <c r="B174" s="5" t="s">
        <v>485</v>
      </c>
      <c r="C174" s="98">
        <v>-66352.800000000003</v>
      </c>
      <c r="D174" s="98">
        <f>VLOOKUP($A$174,Distributions!$A$4:$F$17,6,FALSE)</f>
        <v>-5529.4</v>
      </c>
      <c r="E174" s="98">
        <f>VLOOKUP($A$174,Distributions!$A$4:$F$17,6,FALSE)</f>
        <v>-5529.4</v>
      </c>
      <c r="F174" s="98">
        <f>VLOOKUP($A$174,Distributions!$A$4:$F$17,6,FALSE)</f>
        <v>-5529.4</v>
      </c>
      <c r="G174" s="98">
        <f>VLOOKUP($A$174,Distributions!$A$4:$F$17,6,FALSE)</f>
        <v>-5529.4</v>
      </c>
      <c r="H174" s="98">
        <f>VLOOKUP($A$174,Distributions!$A$4:$F$17,6,FALSE)</f>
        <v>-5529.4</v>
      </c>
      <c r="I174" s="98">
        <f>VLOOKUP($A$174,Distributions!$A$4:$F$17,6,FALSE)</f>
        <v>-5529.4</v>
      </c>
      <c r="J174" s="98">
        <f>VLOOKUP($A$174,Distributions!$A$4:$F$17,6,FALSE)</f>
        <v>-5529.4</v>
      </c>
      <c r="K174" s="98">
        <f>VLOOKUP($A$174,Distributions!$A$4:$F$17,6,FALSE)</f>
        <v>-5529.4</v>
      </c>
      <c r="L174" s="98">
        <f>VLOOKUP($A$174,Distributions!$A$4:$F$17,6,FALSE)</f>
        <v>-5529.4</v>
      </c>
      <c r="M174" s="98">
        <f>VLOOKUP($A$174,Distributions!$A$4:$F$17,6,FALSE)</f>
        <v>-5529.4</v>
      </c>
      <c r="N174" s="98">
        <f>VLOOKUP($A$174,Distributions!$A$4:$F$17,6,FALSE)</f>
        <v>-5529.4</v>
      </c>
      <c r="O174" s="98">
        <f>VLOOKUP($A$174,Distributions!$A$4:$F$17,6,FALSE)</f>
        <v>-5529.4</v>
      </c>
      <c r="P174" s="98">
        <f t="shared" si="40"/>
        <v>-66352.800000000003</v>
      </c>
      <c r="Q174" s="98">
        <f t="shared" si="31"/>
        <v>0</v>
      </c>
      <c r="R174" s="153">
        <f t="shared" si="28"/>
        <v>0</v>
      </c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</row>
    <row r="175" spans="1:28" outlineLevel="1" x14ac:dyDescent="0.25">
      <c r="A175" s="166" t="s">
        <v>511</v>
      </c>
      <c r="B175" s="5" t="s">
        <v>512</v>
      </c>
      <c r="C175" s="98">
        <v>-8472</v>
      </c>
      <c r="D175" s="98">
        <f>VLOOKUP($A$175,Distributions!$A$4:$F$17,6,FALSE)</f>
        <v>-706</v>
      </c>
      <c r="E175" s="98">
        <f>VLOOKUP($A$175,Distributions!$A$4:$F$17,6,FALSE)</f>
        <v>-706</v>
      </c>
      <c r="F175" s="98">
        <f>VLOOKUP($A$175,Distributions!$A$4:$F$17,6,FALSE)</f>
        <v>-706</v>
      </c>
      <c r="G175" s="98">
        <f>VLOOKUP($A$175,Distributions!$A$4:$F$17,6,FALSE)</f>
        <v>-706</v>
      </c>
      <c r="H175" s="98">
        <f>VLOOKUP($A$175,Distributions!$A$4:$F$17,6,FALSE)</f>
        <v>-706</v>
      </c>
      <c r="I175" s="98">
        <f>VLOOKUP($A$175,Distributions!$A$4:$F$17,6,FALSE)</f>
        <v>-706</v>
      </c>
      <c r="J175" s="98">
        <f>VLOOKUP($A$175,Distributions!$A$4:$F$17,6,FALSE)</f>
        <v>-706</v>
      </c>
      <c r="K175" s="98">
        <f>VLOOKUP($A$175,Distributions!$A$4:$F$17,6,FALSE)</f>
        <v>-706</v>
      </c>
      <c r="L175" s="98">
        <f>VLOOKUP($A$175,Distributions!$A$4:$F$17,6,FALSE)</f>
        <v>-706</v>
      </c>
      <c r="M175" s="98">
        <f>VLOOKUP($A$175,Distributions!$A$4:$F$17,6,FALSE)</f>
        <v>-706</v>
      </c>
      <c r="N175" s="98">
        <f>VLOOKUP($A$175,Distributions!$A$4:$F$17,6,FALSE)</f>
        <v>-706</v>
      </c>
      <c r="O175" s="98">
        <f>VLOOKUP($A$175,Distributions!$A$4:$F$17,6,FALSE)</f>
        <v>-706</v>
      </c>
      <c r="P175" s="98">
        <f t="shared" si="40"/>
        <v>-8472</v>
      </c>
      <c r="Q175" s="98">
        <f t="shared" si="31"/>
        <v>0</v>
      </c>
      <c r="R175" s="153">
        <f t="shared" si="28"/>
        <v>0</v>
      </c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</row>
    <row r="176" spans="1:28" outlineLevel="1" x14ac:dyDescent="0.25">
      <c r="A176" s="166" t="s">
        <v>513</v>
      </c>
      <c r="B176" s="5" t="s">
        <v>514</v>
      </c>
      <c r="C176" s="98">
        <v>-8472</v>
      </c>
      <c r="D176" s="98">
        <f>VLOOKUP($A$176,Distributions!$A$4:$F$17,6,FALSE)</f>
        <v>-706</v>
      </c>
      <c r="E176" s="98">
        <f>VLOOKUP($A$176,Distributions!$A$4:$F$17,6,FALSE)</f>
        <v>-706</v>
      </c>
      <c r="F176" s="98">
        <f>VLOOKUP($A$176,Distributions!$A$4:$F$17,6,FALSE)</f>
        <v>-706</v>
      </c>
      <c r="G176" s="98">
        <f>VLOOKUP($A$176,Distributions!$A$4:$F$17,6,FALSE)</f>
        <v>-706</v>
      </c>
      <c r="H176" s="98">
        <f>VLOOKUP($A$176,Distributions!$A$4:$F$17,6,FALSE)</f>
        <v>-706</v>
      </c>
      <c r="I176" s="98">
        <f>VLOOKUP($A$176,Distributions!$A$4:$F$17,6,FALSE)</f>
        <v>-706</v>
      </c>
      <c r="J176" s="98">
        <f>VLOOKUP($A$176,Distributions!$A$4:$F$17,6,FALSE)</f>
        <v>-706</v>
      </c>
      <c r="K176" s="98">
        <f>VLOOKUP($A$176,Distributions!$A$4:$F$17,6,FALSE)</f>
        <v>-706</v>
      </c>
      <c r="L176" s="98">
        <f>VLOOKUP($A$176,Distributions!$A$4:$F$17,6,FALSE)</f>
        <v>-706</v>
      </c>
      <c r="M176" s="98">
        <f>VLOOKUP($A$176,Distributions!$A$4:$F$17,6,FALSE)</f>
        <v>-706</v>
      </c>
      <c r="N176" s="98">
        <f>VLOOKUP($A$176,Distributions!$A$4:$F$17,6,FALSE)</f>
        <v>-706</v>
      </c>
      <c r="O176" s="98">
        <f>VLOOKUP($A$176,Distributions!$A$4:$F$17,6,FALSE)</f>
        <v>-706</v>
      </c>
      <c r="P176" s="98">
        <f t="shared" si="40"/>
        <v>-8472</v>
      </c>
      <c r="Q176" s="98">
        <f t="shared" si="31"/>
        <v>0</v>
      </c>
      <c r="R176" s="153">
        <f t="shared" si="28"/>
        <v>0</v>
      </c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</row>
    <row r="177" spans="1:28" outlineLevel="1" x14ac:dyDescent="0.25">
      <c r="A177" s="166" t="s">
        <v>515</v>
      </c>
      <c r="B177" s="5" t="s">
        <v>516</v>
      </c>
      <c r="C177" s="98">
        <v>-8469.6</v>
      </c>
      <c r="D177" s="98">
        <f>VLOOKUP($A$177,Distributions!$A$4:$F$17,6,FALSE)</f>
        <v>-705.80000000000007</v>
      </c>
      <c r="E177" s="98">
        <f>VLOOKUP($A$177,Distributions!$A$4:$F$17,6,FALSE)</f>
        <v>-705.80000000000007</v>
      </c>
      <c r="F177" s="98">
        <f>VLOOKUP($A$177,Distributions!$A$4:$F$17,6,FALSE)</f>
        <v>-705.80000000000007</v>
      </c>
      <c r="G177" s="98">
        <f>VLOOKUP($A$177,Distributions!$A$4:$F$17,6,FALSE)</f>
        <v>-705.80000000000007</v>
      </c>
      <c r="H177" s="98">
        <f>VLOOKUP($A$177,Distributions!$A$4:$F$17,6,FALSE)</f>
        <v>-705.80000000000007</v>
      </c>
      <c r="I177" s="98">
        <f>VLOOKUP($A$177,Distributions!$A$4:$F$17,6,FALSE)</f>
        <v>-705.80000000000007</v>
      </c>
      <c r="J177" s="98">
        <f>VLOOKUP($A$177,Distributions!$A$4:$F$17,6,FALSE)</f>
        <v>-705.80000000000007</v>
      </c>
      <c r="K177" s="98">
        <f>VLOOKUP($A$177,Distributions!$A$4:$F$17,6,FALSE)</f>
        <v>-705.80000000000007</v>
      </c>
      <c r="L177" s="98">
        <f>VLOOKUP($A$177,Distributions!$A$4:$F$17,6,FALSE)</f>
        <v>-705.80000000000007</v>
      </c>
      <c r="M177" s="98">
        <f>VLOOKUP($A$177,Distributions!$A$4:$F$17,6,FALSE)</f>
        <v>-705.80000000000007</v>
      </c>
      <c r="N177" s="98">
        <f>VLOOKUP($A$177,Distributions!$A$4:$F$17,6,FALSE)</f>
        <v>-705.80000000000007</v>
      </c>
      <c r="O177" s="98">
        <f>VLOOKUP($A$177,Distributions!$A$4:$F$17,6,FALSE)</f>
        <v>-705.80000000000007</v>
      </c>
      <c r="P177" s="98">
        <f t="shared" si="40"/>
        <v>-8469.6</v>
      </c>
      <c r="Q177" s="98">
        <f t="shared" si="31"/>
        <v>0</v>
      </c>
      <c r="R177" s="153">
        <f t="shared" si="28"/>
        <v>0</v>
      </c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</row>
    <row r="178" spans="1:28" outlineLevel="1" x14ac:dyDescent="0.25">
      <c r="A178" s="166" t="s">
        <v>517</v>
      </c>
      <c r="B178" s="5" t="s">
        <v>518</v>
      </c>
      <c r="C178" s="98">
        <v>-4236</v>
      </c>
      <c r="D178" s="98">
        <f>VLOOKUP($A$178,Distributions!$A$4:$F$17,6,FALSE)</f>
        <v>-353</v>
      </c>
      <c r="E178" s="98">
        <f>VLOOKUP($A$178,Distributions!$A$4:$F$17,6,FALSE)</f>
        <v>-353</v>
      </c>
      <c r="F178" s="98">
        <f>VLOOKUP($A$178,Distributions!$A$4:$F$17,6,FALSE)</f>
        <v>-353</v>
      </c>
      <c r="G178" s="98">
        <f>VLOOKUP($A$178,Distributions!$A$4:$F$17,6,FALSE)</f>
        <v>-353</v>
      </c>
      <c r="H178" s="98">
        <f>VLOOKUP($A$178,Distributions!$A$4:$F$17,6,FALSE)</f>
        <v>-353</v>
      </c>
      <c r="I178" s="98">
        <f>VLOOKUP($A$178,Distributions!$A$4:$F$17,6,FALSE)</f>
        <v>-353</v>
      </c>
      <c r="J178" s="98">
        <f>VLOOKUP($A$178,Distributions!$A$4:$F$17,6,FALSE)</f>
        <v>-353</v>
      </c>
      <c r="K178" s="98">
        <f>VLOOKUP($A$178,Distributions!$A$4:$F$17,6,FALSE)</f>
        <v>-353</v>
      </c>
      <c r="L178" s="98">
        <f>VLOOKUP($A$178,Distributions!$A$4:$F$17,6,FALSE)</f>
        <v>-353</v>
      </c>
      <c r="M178" s="98">
        <f>VLOOKUP($A$178,Distributions!$A$4:$F$17,6,FALSE)</f>
        <v>-353</v>
      </c>
      <c r="N178" s="98">
        <f>VLOOKUP($A$178,Distributions!$A$4:$F$17,6,FALSE)</f>
        <v>-353</v>
      </c>
      <c r="O178" s="98">
        <f>VLOOKUP($A$178,Distributions!$A$4:$F$17,6,FALSE)</f>
        <v>-353</v>
      </c>
      <c r="P178" s="98">
        <f t="shared" si="40"/>
        <v>-4236</v>
      </c>
      <c r="Q178" s="98">
        <f t="shared" si="31"/>
        <v>0</v>
      </c>
      <c r="R178" s="153">
        <f t="shared" si="28"/>
        <v>0</v>
      </c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</row>
    <row r="179" spans="1:28" outlineLevel="1" x14ac:dyDescent="0.25">
      <c r="A179" s="166" t="s">
        <v>519</v>
      </c>
      <c r="B179" s="5" t="s">
        <v>520</v>
      </c>
      <c r="C179" s="98">
        <v>-8469.6</v>
      </c>
      <c r="D179" s="98">
        <f>VLOOKUP($A$179,Distributions!$A$4:$F$17,6,FALSE)</f>
        <v>-705.80000000000007</v>
      </c>
      <c r="E179" s="98">
        <f>VLOOKUP($A$179,Distributions!$A$4:$F$17,6,FALSE)</f>
        <v>-705.80000000000007</v>
      </c>
      <c r="F179" s="98">
        <f>VLOOKUP($A$179,Distributions!$A$4:$F$17,6,FALSE)</f>
        <v>-705.80000000000007</v>
      </c>
      <c r="G179" s="98">
        <f>VLOOKUP($A$179,Distributions!$A$4:$F$17,6,FALSE)</f>
        <v>-705.80000000000007</v>
      </c>
      <c r="H179" s="98">
        <f>VLOOKUP($A$179,Distributions!$A$4:$F$17,6,FALSE)</f>
        <v>-705.80000000000007</v>
      </c>
      <c r="I179" s="98">
        <f>VLOOKUP($A$179,Distributions!$A$4:$F$17,6,FALSE)</f>
        <v>-705.80000000000007</v>
      </c>
      <c r="J179" s="98">
        <f>VLOOKUP($A$179,Distributions!$A$4:$F$17,6,FALSE)</f>
        <v>-705.80000000000007</v>
      </c>
      <c r="K179" s="98">
        <f>VLOOKUP($A$179,Distributions!$A$4:$F$17,6,FALSE)</f>
        <v>-705.80000000000007</v>
      </c>
      <c r="L179" s="98">
        <f>VLOOKUP($A$179,Distributions!$A$4:$F$17,6,FALSE)</f>
        <v>-705.80000000000007</v>
      </c>
      <c r="M179" s="98">
        <f>VLOOKUP($A$179,Distributions!$A$4:$F$17,6,FALSE)</f>
        <v>-705.80000000000007</v>
      </c>
      <c r="N179" s="98">
        <f>VLOOKUP($A$179,Distributions!$A$4:$F$17,6,FALSE)</f>
        <v>-705.80000000000007</v>
      </c>
      <c r="O179" s="98">
        <f>VLOOKUP($A$179,Distributions!$A$4:$F$17,6,FALSE)</f>
        <v>-705.80000000000007</v>
      </c>
      <c r="P179" s="98">
        <f t="shared" si="40"/>
        <v>-8469.6</v>
      </c>
      <c r="Q179" s="98">
        <f t="shared" si="31"/>
        <v>0</v>
      </c>
      <c r="R179" s="153">
        <f t="shared" si="28"/>
        <v>0</v>
      </c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</row>
    <row r="180" spans="1:28" outlineLevel="1" x14ac:dyDescent="0.25">
      <c r="A180" s="166" t="s">
        <v>521</v>
      </c>
      <c r="B180" s="5" t="s">
        <v>522</v>
      </c>
      <c r="C180" s="98">
        <v>-8469.6</v>
      </c>
      <c r="D180" s="98">
        <f>VLOOKUP($A180,Distributions!$A$4:$F$17,6,FALSE)</f>
        <v>-705.80000000000007</v>
      </c>
      <c r="E180" s="98">
        <f>VLOOKUP($A180,Distributions!$A$4:$F$17,6,FALSE)</f>
        <v>-705.80000000000007</v>
      </c>
      <c r="F180" s="98">
        <f>VLOOKUP($A180,Distributions!$A$4:$F$17,6,FALSE)</f>
        <v>-705.80000000000007</v>
      </c>
      <c r="G180" s="98">
        <f>VLOOKUP($A180,Distributions!$A$4:$F$17,6,FALSE)</f>
        <v>-705.80000000000007</v>
      </c>
      <c r="H180" s="98">
        <f>VLOOKUP($A180,Distributions!$A$4:$F$17,6,FALSE)</f>
        <v>-705.80000000000007</v>
      </c>
      <c r="I180" s="98">
        <f>VLOOKUP($A180,Distributions!$A$4:$F$17,6,FALSE)</f>
        <v>-705.80000000000007</v>
      </c>
      <c r="J180" s="98">
        <f>VLOOKUP($A180,Distributions!$A$4:$F$17,6,FALSE)</f>
        <v>-705.80000000000007</v>
      </c>
      <c r="K180" s="98">
        <f>VLOOKUP($A180,Distributions!$A$4:$F$17,6,FALSE)</f>
        <v>-705.80000000000007</v>
      </c>
      <c r="L180" s="98">
        <f>VLOOKUP($A180,Distributions!$A$4:$F$17,6,FALSE)</f>
        <v>-705.80000000000007</v>
      </c>
      <c r="M180" s="98">
        <f>VLOOKUP($A180,Distributions!$A$4:$F$17,6,FALSE)</f>
        <v>-705.80000000000007</v>
      </c>
      <c r="N180" s="98">
        <f>VLOOKUP($A180,Distributions!$A$4:$F$17,6,FALSE)</f>
        <v>-705.80000000000007</v>
      </c>
      <c r="O180" s="98">
        <f>VLOOKUP($A180,Distributions!$A$4:$F$17,6,FALSE)</f>
        <v>-705.80000000000007</v>
      </c>
      <c r="P180" s="98">
        <f t="shared" si="40"/>
        <v>-8469.6</v>
      </c>
      <c r="Q180" s="98">
        <f t="shared" si="31"/>
        <v>0</v>
      </c>
      <c r="R180" s="153">
        <f t="shared" si="28"/>
        <v>0</v>
      </c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</row>
    <row r="181" spans="1:28" outlineLevel="1" x14ac:dyDescent="0.25">
      <c r="A181" s="166" t="s">
        <v>523</v>
      </c>
      <c r="B181" s="5" t="s">
        <v>524</v>
      </c>
      <c r="C181" s="98">
        <v>-16939.2</v>
      </c>
      <c r="D181" s="98">
        <f>VLOOKUP($A$181,Distributions!$A$4:$F$17,6,FALSE)</f>
        <v>-1411.6000000000001</v>
      </c>
      <c r="E181" s="98">
        <f>VLOOKUP($A$181,Distributions!$A$4:$F$17,6,FALSE)</f>
        <v>-1411.6000000000001</v>
      </c>
      <c r="F181" s="98">
        <f>VLOOKUP($A$181,Distributions!$A$4:$F$17,6,FALSE)</f>
        <v>-1411.6000000000001</v>
      </c>
      <c r="G181" s="98">
        <f>VLOOKUP($A$181,Distributions!$A$4:$F$17,6,FALSE)</f>
        <v>-1411.6000000000001</v>
      </c>
      <c r="H181" s="98">
        <f>VLOOKUP($A$181,Distributions!$A$4:$F$17,6,FALSE)</f>
        <v>-1411.6000000000001</v>
      </c>
      <c r="I181" s="98">
        <f>VLOOKUP($A$181,Distributions!$A$4:$F$17,6,FALSE)</f>
        <v>-1411.6000000000001</v>
      </c>
      <c r="J181" s="98">
        <f>VLOOKUP($A$181,Distributions!$A$4:$F$17,6,FALSE)</f>
        <v>-1411.6000000000001</v>
      </c>
      <c r="K181" s="98">
        <f>VLOOKUP($A$181,Distributions!$A$4:$F$17,6,FALSE)</f>
        <v>-1411.6000000000001</v>
      </c>
      <c r="L181" s="98">
        <f>VLOOKUP($A$181,Distributions!$A$4:$F$17,6,FALSE)</f>
        <v>-1411.6000000000001</v>
      </c>
      <c r="M181" s="98">
        <f>VLOOKUP($A$181,Distributions!$A$4:$F$17,6,FALSE)</f>
        <v>-1411.6000000000001</v>
      </c>
      <c r="N181" s="98">
        <f>VLOOKUP($A$181,Distributions!$A$4:$F$17,6,FALSE)</f>
        <v>-1411.6000000000001</v>
      </c>
      <c r="O181" s="98">
        <f>VLOOKUP($A$181,Distributions!$A$4:$F$17,6,FALSE)</f>
        <v>-1411.6000000000001</v>
      </c>
      <c r="P181" s="98">
        <f t="shared" si="40"/>
        <v>-16939.2</v>
      </c>
      <c r="Q181" s="98">
        <f t="shared" si="31"/>
        <v>0</v>
      </c>
      <c r="R181" s="153">
        <f t="shared" si="28"/>
        <v>0</v>
      </c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</row>
    <row r="182" spans="1:28" ht="15.75" outlineLevel="1" thickBot="1" x14ac:dyDescent="0.3">
      <c r="A182" s="166" t="s">
        <v>525</v>
      </c>
      <c r="B182" s="5" t="s">
        <v>526</v>
      </c>
      <c r="C182" s="98">
        <v>-16941.599999999999</v>
      </c>
      <c r="D182" s="98">
        <f>VLOOKUP($A$182,Distributions!$A$4:$F$17,6,FALSE)</f>
        <v>-1411.8</v>
      </c>
      <c r="E182" s="98">
        <f>VLOOKUP($A$182,Distributions!$A$4:$F$17,6,FALSE)</f>
        <v>-1411.8</v>
      </c>
      <c r="F182" s="98">
        <f>VLOOKUP($A$182,Distributions!$A$4:$F$17,6,FALSE)</f>
        <v>-1411.8</v>
      </c>
      <c r="G182" s="98">
        <f>VLOOKUP($A$182,Distributions!$A$4:$F$17,6,FALSE)</f>
        <v>-1411.8</v>
      </c>
      <c r="H182" s="98">
        <f>VLOOKUP($A$182,Distributions!$A$4:$F$17,6,FALSE)</f>
        <v>-1411.8</v>
      </c>
      <c r="I182" s="98">
        <f>VLOOKUP($A$182,Distributions!$A$4:$F$17,6,FALSE)</f>
        <v>-1411.8</v>
      </c>
      <c r="J182" s="98">
        <f>VLOOKUP($A$182,Distributions!$A$4:$F$17,6,FALSE)</f>
        <v>-1411.8</v>
      </c>
      <c r="K182" s="98">
        <f>VLOOKUP($A$182,Distributions!$A$4:$F$17,6,FALSE)</f>
        <v>-1411.8</v>
      </c>
      <c r="L182" s="98">
        <f>VLOOKUP($A$182,Distributions!$A$4:$F$17,6,FALSE)</f>
        <v>-1411.8</v>
      </c>
      <c r="M182" s="98">
        <f>VLOOKUP($A$182,Distributions!$A$4:$F$17,6,FALSE)</f>
        <v>-1411.8</v>
      </c>
      <c r="N182" s="98">
        <f>VLOOKUP($A$182,Distributions!$A$4:$F$17,6,FALSE)</f>
        <v>-1411.8</v>
      </c>
      <c r="O182" s="98">
        <f>VLOOKUP($A$182,Distributions!$A$4:$F$17,6,FALSE)</f>
        <v>-1411.8</v>
      </c>
      <c r="P182" s="98">
        <f t="shared" si="40"/>
        <v>-16941.599999999995</v>
      </c>
      <c r="Q182" s="98">
        <f t="shared" si="31"/>
        <v>3.637978807091713E-12</v>
      </c>
      <c r="R182" s="153">
        <f t="shared" si="28"/>
        <v>-2.1473643617437039E-16</v>
      </c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</row>
    <row r="183" spans="1:28" s="91" customFormat="1" x14ac:dyDescent="0.25">
      <c r="A183" s="6" t="s">
        <v>158</v>
      </c>
      <c r="B183" s="3" t="s">
        <v>159</v>
      </c>
      <c r="C183" s="100">
        <f>SUM(C169:C182)</f>
        <v>-240000.00000000006</v>
      </c>
      <c r="D183" s="100">
        <f>SUM(D169:D182)</f>
        <v>-19999.999999999996</v>
      </c>
      <c r="E183" s="100">
        <f>SUM(E169:E182)</f>
        <v>-19999.999999999996</v>
      </c>
      <c r="F183" s="100">
        <f>SUM(F169:F182)</f>
        <v>-19999.999999999996</v>
      </c>
      <c r="G183" s="100">
        <f>SUM(G169:G182)</f>
        <v>-19999.999999999996</v>
      </c>
      <c r="H183" s="100">
        <f>SUM(H169:H182)</f>
        <v>-19999.999999999996</v>
      </c>
      <c r="I183" s="100">
        <f>SUM(I169:I182)</f>
        <v>-19999.999999999996</v>
      </c>
      <c r="J183" s="100">
        <f>SUM(J169:J182)</f>
        <v>-19999.999999999996</v>
      </c>
      <c r="K183" s="100">
        <f>SUM(K169:K182)</f>
        <v>-19999.999999999996</v>
      </c>
      <c r="L183" s="100">
        <f>SUM(L169:L182)</f>
        <v>-19999.999999999996</v>
      </c>
      <c r="M183" s="100">
        <f>SUM(M169:M182)</f>
        <v>-19999.999999999996</v>
      </c>
      <c r="N183" s="100">
        <f>SUM(N169:N182)</f>
        <v>-19999.999999999996</v>
      </c>
      <c r="O183" s="100">
        <f>SUM(O169:O182)</f>
        <v>-19999.999999999996</v>
      </c>
      <c r="P183" s="100">
        <f>SUM(P169:P182)</f>
        <v>-240000</v>
      </c>
      <c r="Q183" s="100">
        <f t="shared" si="31"/>
        <v>5.8207660913467407E-11</v>
      </c>
      <c r="R183" s="153">
        <f t="shared" ref="R183:R188" si="41">IF(C183&lt;&gt;0,Q183/C183,"")</f>
        <v>-2.4253192047278083E-16</v>
      </c>
    </row>
    <row r="184" spans="1:28" x14ac:dyDescent="0.25">
      <c r="A184" s="1"/>
      <c r="B184" s="5"/>
      <c r="C184" s="105"/>
      <c r="D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 t="str">
        <f t="shared" si="31"/>
        <v/>
      </c>
      <c r="R184" s="153" t="str">
        <f t="shared" si="41"/>
        <v/>
      </c>
    </row>
    <row r="185" spans="1:28" ht="15.75" thickBot="1" x14ac:dyDescent="0.3">
      <c r="A185" s="1"/>
      <c r="B185" s="5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 t="str">
        <f t="shared" si="31"/>
        <v/>
      </c>
      <c r="R185" s="153" t="str">
        <f t="shared" si="41"/>
        <v/>
      </c>
    </row>
    <row r="186" spans="1:28" s="91" customFormat="1" x14ac:dyDescent="0.25">
      <c r="A186" s="6"/>
      <c r="B186" s="3" t="s">
        <v>160</v>
      </c>
      <c r="C186" s="100">
        <f>C140+C145+C166+C183</f>
        <v>-452789.00000000006</v>
      </c>
      <c r="D186" s="100">
        <f>D140+D145+D166+D183</f>
        <v>2724.3100000000049</v>
      </c>
      <c r="E186" s="100">
        <f>E140+E145+E166+E183</f>
        <v>-43115.479999999996</v>
      </c>
      <c r="F186" s="100">
        <f>F140+F145+F166+F183</f>
        <v>-39448.199999999997</v>
      </c>
      <c r="G186" s="100">
        <f>G140+G145+G166+G183</f>
        <v>2653.1500000000051</v>
      </c>
      <c r="H186" s="100">
        <f>H140+H145+H166+H183</f>
        <v>-43186.89</v>
      </c>
      <c r="I186" s="100">
        <f>I140+I145+I166+I183</f>
        <v>-39519.849999999991</v>
      </c>
      <c r="J186" s="100">
        <f>J140+J145+J166+J183</f>
        <v>2581.2600000000057</v>
      </c>
      <c r="K186" s="100">
        <f>K140+K145+K166+K183</f>
        <v>-43259.009999999995</v>
      </c>
      <c r="L186" s="100">
        <f>L140+L145+L166+L183</f>
        <v>-39592.209999999992</v>
      </c>
      <c r="M186" s="100">
        <f>M140+M145+M166+M183</f>
        <v>3176.0000000000036</v>
      </c>
      <c r="N186" s="100">
        <f>N140+N145+N166+N183</f>
        <v>-42666.44</v>
      </c>
      <c r="O186" s="100">
        <f>O140+O145+O166+O183</f>
        <v>-39001.839999999997</v>
      </c>
      <c r="P186" s="100">
        <f>P140+P145+P166+P183</f>
        <v>-318655.19999999995</v>
      </c>
      <c r="Q186" s="100">
        <f t="shared" ref="Q186:Q188" si="42">IF(C186&lt;&gt;"",P186-C186,"")</f>
        <v>134133.8000000001</v>
      </c>
      <c r="R186" s="153">
        <f t="shared" si="41"/>
        <v>-0.29623908708029589</v>
      </c>
    </row>
    <row r="187" spans="1:28" s="91" customFormat="1" ht="15.75" thickBot="1" x14ac:dyDescent="0.3">
      <c r="A187" s="6"/>
      <c r="B187" s="3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 t="str">
        <f t="shared" si="42"/>
        <v/>
      </c>
      <c r="R187" s="153" t="str">
        <f t="shared" si="41"/>
        <v/>
      </c>
    </row>
    <row r="188" spans="1:28" s="91" customFormat="1" x14ac:dyDescent="0.25">
      <c r="A188" s="6"/>
      <c r="B188" s="3" t="s">
        <v>161</v>
      </c>
      <c r="C188" s="100">
        <f>SUM(C186,C121)</f>
        <v>-47388.000000000058</v>
      </c>
      <c r="D188" s="100">
        <f>SUM(D186,D121)</f>
        <v>24422.841666666667</v>
      </c>
      <c r="E188" s="100">
        <f>SUM(E186,E121)</f>
        <v>-3946.1583333333401</v>
      </c>
      <c r="F188" s="100">
        <f>SUM(F186,F121)</f>
        <v>771.81166666666104</v>
      </c>
      <c r="G188" s="100">
        <f>SUM(G186,G121)</f>
        <v>25757.911666666663</v>
      </c>
      <c r="H188" s="100">
        <f>SUM(H186,H121)</f>
        <v>-2897.0883333333404</v>
      </c>
      <c r="I188" s="100">
        <f>SUM(I186,I121)</f>
        <v>-12906.088333333333</v>
      </c>
      <c r="J188" s="100">
        <f>SUM(J186,J121)</f>
        <v>25690.011666666654</v>
      </c>
      <c r="K188" s="100">
        <f>SUM(K186,K121)</f>
        <v>-2651.688333333339</v>
      </c>
      <c r="L188" s="100">
        <f>SUM(L186,L121)</f>
        <v>843.91166666666686</v>
      </c>
      <c r="M188" s="100">
        <f>SUM(M186,M121)</f>
        <v>23631.471666666654</v>
      </c>
      <c r="N188" s="100">
        <f>SUM(N186,N121)</f>
        <v>-4587.5283333333427</v>
      </c>
      <c r="O188" s="100">
        <f>SUM(O186,O121)</f>
        <v>-896.52833333333547</v>
      </c>
      <c r="P188" s="100">
        <f>SUM(P186,P121)</f>
        <v>-21572.119999999879</v>
      </c>
      <c r="Q188" s="100">
        <f t="shared" si="42"/>
        <v>25815.880000000179</v>
      </c>
      <c r="R188" s="153">
        <f t="shared" si="41"/>
        <v>-0.54477673672660054</v>
      </c>
    </row>
    <row r="189" spans="1:28" s="91" customFormat="1" x14ac:dyDescent="0.25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53"/>
    </row>
    <row r="190" spans="1:28" s="91" customFormat="1" hidden="1" x14ac:dyDescent="0.25">
      <c r="A190" s="6"/>
      <c r="B190" s="3" t="s">
        <v>374</v>
      </c>
      <c r="C190" s="108"/>
      <c r="D190" s="109"/>
      <c r="E190" s="109">
        <f>D191</f>
        <v>24422.841666666667</v>
      </c>
      <c r="F190" s="109">
        <f t="shared" ref="F190:O190" si="43">E191</f>
        <v>20476.683333333327</v>
      </c>
      <c r="G190" s="109">
        <f t="shared" si="43"/>
        <v>21248.494999999988</v>
      </c>
      <c r="H190" s="109">
        <f t="shared" si="43"/>
        <v>47006.406666666648</v>
      </c>
      <c r="I190" s="109">
        <f t="shared" si="43"/>
        <v>44109.318333333307</v>
      </c>
      <c r="J190" s="109">
        <f t="shared" si="43"/>
        <v>31203.229999999974</v>
      </c>
      <c r="K190" s="109">
        <f t="shared" si="43"/>
        <v>56893.241666666625</v>
      </c>
      <c r="L190" s="109">
        <f t="shared" si="43"/>
        <v>54241.553333333286</v>
      </c>
      <c r="M190" s="109">
        <f t="shared" si="43"/>
        <v>55085.464999999953</v>
      </c>
      <c r="N190" s="109">
        <f t="shared" si="43"/>
        <v>78716.936666666603</v>
      </c>
      <c r="O190" s="109">
        <f t="shared" si="43"/>
        <v>74129.408333333267</v>
      </c>
      <c r="P190" s="108"/>
      <c r="Q190" s="108"/>
      <c r="R190" s="153"/>
    </row>
    <row r="191" spans="1:28" s="91" customFormat="1" hidden="1" x14ac:dyDescent="0.25">
      <c r="A191" s="6"/>
      <c r="B191" s="3" t="s">
        <v>375</v>
      </c>
      <c r="C191" s="109"/>
      <c r="D191" s="109">
        <f>D190+D188</f>
        <v>24422.841666666667</v>
      </c>
      <c r="E191" s="109">
        <f>E190+E188</f>
        <v>20476.683333333327</v>
      </c>
      <c r="F191" s="109">
        <f t="shared" ref="F191:O191" si="44">F190+F188</f>
        <v>21248.494999999988</v>
      </c>
      <c r="G191" s="109">
        <f t="shared" si="44"/>
        <v>47006.406666666648</v>
      </c>
      <c r="H191" s="109">
        <f t="shared" si="44"/>
        <v>44109.318333333307</v>
      </c>
      <c r="I191" s="109">
        <f t="shared" si="44"/>
        <v>31203.229999999974</v>
      </c>
      <c r="J191" s="109">
        <f t="shared" si="44"/>
        <v>56893.241666666625</v>
      </c>
      <c r="K191" s="109">
        <f t="shared" si="44"/>
        <v>54241.553333333286</v>
      </c>
      <c r="L191" s="109">
        <f t="shared" si="44"/>
        <v>55085.464999999953</v>
      </c>
      <c r="M191" s="109">
        <f t="shared" si="44"/>
        <v>78716.936666666603</v>
      </c>
      <c r="N191" s="109">
        <f t="shared" si="44"/>
        <v>74129.408333333267</v>
      </c>
      <c r="O191" s="109">
        <f t="shared" si="44"/>
        <v>73232.879999999932</v>
      </c>
      <c r="P191" s="109"/>
      <c r="Q191" s="109"/>
      <c r="R191" s="153"/>
    </row>
    <row r="192" spans="1:28" s="91" customFormat="1" hidden="1" x14ac:dyDescent="0.25">
      <c r="A192" s="6"/>
      <c r="B192" s="3"/>
      <c r="C192" s="109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9"/>
      <c r="Q192" s="109"/>
      <c r="R192" s="153"/>
    </row>
    <row r="193" spans="1:18" s="91" customFormat="1" x14ac:dyDescent="0.25">
      <c r="A193" s="6"/>
      <c r="B193" s="3"/>
      <c r="C193" s="109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98"/>
      <c r="O193" s="98"/>
      <c r="P193" s="109"/>
      <c r="Q193" s="109"/>
      <c r="R193" s="153"/>
    </row>
    <row r="194" spans="1:18" x14ac:dyDescent="0.25">
      <c r="A194" s="1"/>
      <c r="B194" s="5"/>
      <c r="C194" s="99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P194" s="99"/>
      <c r="Q194" s="99"/>
      <c r="R194" s="152"/>
    </row>
    <row r="195" spans="1:18" x14ac:dyDescent="0.25">
      <c r="A195" s="5"/>
      <c r="B195" s="5" t="s">
        <v>466</v>
      </c>
      <c r="C195" s="99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P195" s="99"/>
      <c r="Q195" s="99"/>
      <c r="R195" s="152"/>
    </row>
    <row r="196" spans="1:18" x14ac:dyDescent="0.25">
      <c r="A196" s="1"/>
      <c r="B196" s="5" t="s">
        <v>491</v>
      </c>
      <c r="C196" s="99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>
        <f>SUM(D196:O196)</f>
        <v>0</v>
      </c>
      <c r="Q196" s="99"/>
      <c r="R196" s="152"/>
    </row>
    <row r="197" spans="1:18" x14ac:dyDescent="0.25">
      <c r="A197" s="135"/>
      <c r="B197" s="5" t="s">
        <v>492</v>
      </c>
      <c r="C197" s="99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>
        <f>SUM(D197:O197)</f>
        <v>0</v>
      </c>
      <c r="Q197" s="99"/>
      <c r="R197" s="152"/>
    </row>
    <row r="198" spans="1:18" x14ac:dyDescent="0.25">
      <c r="A198" s="166"/>
      <c r="B198" s="5" t="s">
        <v>493</v>
      </c>
      <c r="C198" s="99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9"/>
      <c r="R198" s="152"/>
    </row>
    <row r="199" spans="1:18" x14ac:dyDescent="0.25">
      <c r="A199" s="166"/>
      <c r="B199" s="5" t="s">
        <v>494</v>
      </c>
      <c r="C199" s="99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9"/>
      <c r="R199" s="152"/>
    </row>
    <row r="200" spans="1:18" x14ac:dyDescent="0.25">
      <c r="A200" s="166"/>
      <c r="B200" s="5" t="s">
        <v>495</v>
      </c>
      <c r="C200" s="99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9"/>
      <c r="R200" s="152"/>
    </row>
    <row r="201" spans="1:18" x14ac:dyDescent="0.25">
      <c r="A201" s="166"/>
      <c r="B201" s="5" t="s">
        <v>496</v>
      </c>
      <c r="C201" s="99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9"/>
      <c r="R201" s="152"/>
    </row>
    <row r="202" spans="1:18" x14ac:dyDescent="0.25">
      <c r="A202" s="166"/>
      <c r="B202" s="5" t="s">
        <v>497</v>
      </c>
      <c r="C202" s="99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9"/>
      <c r="R202" s="152"/>
    </row>
    <row r="203" spans="1:18" ht="15.75" thickBot="1" x14ac:dyDescent="0.3">
      <c r="A203" s="166"/>
      <c r="B203" s="5" t="s">
        <v>498</v>
      </c>
      <c r="C203" s="99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9"/>
      <c r="R203" s="152"/>
    </row>
    <row r="204" spans="1:18" x14ac:dyDescent="0.25">
      <c r="B204" s="3" t="s">
        <v>465</v>
      </c>
      <c r="C204"/>
      <c r="D204" s="100">
        <f>SUM(D196:D203)</f>
        <v>0</v>
      </c>
      <c r="E204" s="100">
        <f>SUM(E196:E203)</f>
        <v>0</v>
      </c>
      <c r="F204" s="100">
        <f>SUM(F196:F203)</f>
        <v>0</v>
      </c>
      <c r="G204" s="100">
        <f>SUM(G196:G203)</f>
        <v>0</v>
      </c>
      <c r="H204" s="100">
        <f>SUM(H196:H203)</f>
        <v>0</v>
      </c>
      <c r="I204" s="100">
        <f>SUM(I196:I203)</f>
        <v>0</v>
      </c>
      <c r="J204" s="100">
        <f>SUM(J196:J203)</f>
        <v>0</v>
      </c>
      <c r="K204" s="100">
        <f>SUM(K196:K203)</f>
        <v>0</v>
      </c>
      <c r="L204" s="100">
        <f>SUM(L196:L203)</f>
        <v>0</v>
      </c>
      <c r="M204" s="100">
        <f>SUM(M196:M203)</f>
        <v>0</v>
      </c>
      <c r="N204" s="100">
        <f>SUM(N196:N203)</f>
        <v>0</v>
      </c>
      <c r="O204" s="100">
        <f>SUM(O196:O203)</f>
        <v>0</v>
      </c>
      <c r="P204" s="100">
        <f>SUM(P196:P203)</f>
        <v>0</v>
      </c>
      <c r="Q204"/>
    </row>
    <row r="205" spans="1:18" x14ac:dyDescent="0.25">
      <c r="A205" s="1"/>
      <c r="B205" s="3"/>
      <c r="C205" s="108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8"/>
      <c r="Q205" s="108"/>
      <c r="R205" s="153"/>
    </row>
    <row r="206" spans="1:18" x14ac:dyDescent="0.25">
      <c r="A206" s="1"/>
      <c r="B206" s="5"/>
      <c r="C206" s="99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9"/>
      <c r="Q206" s="99"/>
      <c r="R206" s="152"/>
    </row>
    <row r="207" spans="1:18" x14ac:dyDescent="0.25">
      <c r="A207" s="92" t="s">
        <v>481</v>
      </c>
      <c r="B207" s="3" t="s">
        <v>467</v>
      </c>
      <c r="C207" s="99"/>
      <c r="D207" s="104">
        <f>D188+D204</f>
        <v>24422.841666666667</v>
      </c>
      <c r="E207" s="104">
        <f>E188+E204</f>
        <v>-3946.1583333333401</v>
      </c>
      <c r="F207" s="104">
        <f>F188+F204</f>
        <v>771.81166666666104</v>
      </c>
      <c r="G207" s="104">
        <f>G188+G204</f>
        <v>25757.911666666663</v>
      </c>
      <c r="H207" s="104">
        <f>H188+H204</f>
        <v>-2897.0883333333404</v>
      </c>
      <c r="I207" s="104">
        <f>I188+I204</f>
        <v>-12906.088333333333</v>
      </c>
      <c r="J207" s="104">
        <f>J188+J204</f>
        <v>25690.011666666654</v>
      </c>
      <c r="K207" s="104">
        <f>K188+K204</f>
        <v>-2651.688333333339</v>
      </c>
      <c r="L207" s="104">
        <f>L188+L204</f>
        <v>843.91166666666686</v>
      </c>
      <c r="M207" s="104">
        <f>M188+M204</f>
        <v>23631.471666666654</v>
      </c>
      <c r="N207" s="104">
        <f>N188+N204</f>
        <v>-4587.5283333333427</v>
      </c>
      <c r="O207" s="104">
        <f>O188+O204</f>
        <v>-896.52833333333547</v>
      </c>
      <c r="P207" s="104">
        <f>P188+P204</f>
        <v>-21572.119999999879</v>
      </c>
      <c r="Q207" s="99"/>
      <c r="R207" s="152"/>
    </row>
    <row r="208" spans="1:18" x14ac:dyDescent="0.25">
      <c r="A208" s="139"/>
      <c r="B208" s="3"/>
      <c r="C208" s="99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99"/>
      <c r="R208" s="152"/>
    </row>
    <row r="209" spans="1:18" x14ac:dyDescent="0.25">
      <c r="A209" s="1"/>
      <c r="B209" s="5"/>
      <c r="C209" s="99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9"/>
      <c r="Q209" s="99"/>
      <c r="R209" s="152"/>
    </row>
    <row r="210" spans="1:18" x14ac:dyDescent="0.25">
      <c r="A210" s="1"/>
      <c r="B210" s="3"/>
      <c r="C210" s="109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9"/>
      <c r="Q210" s="109"/>
      <c r="R210" s="153"/>
    </row>
  </sheetData>
  <mergeCells count="3">
    <mergeCell ref="A1:Q1"/>
    <mergeCell ref="A2:Q2"/>
    <mergeCell ref="C127:Q127"/>
  </mergeCells>
  <printOptions gridLines="1"/>
  <pageMargins left="0.1701388888888889" right="0.1701388888888889" top="0.1701388888888889" bottom="0.1701388888888889" header="0" footer="0"/>
  <pageSetup paperSize="5" scale="50" fitToHeight="990" orientation="landscape" r:id="rId1"/>
  <headerFooter>
    <oddHeader>&amp;R&amp;B&amp;D &amp;T</oddHeader>
    <oddFooter>&amp;C&amp;B Page &amp;P of &amp;N</oddFooter>
  </headerFooter>
  <rowBreaks count="1" manualBreakCount="1">
    <brk id="7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zoomScale="85" zoomScaleNormal="85"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F12" sqref="F12"/>
    </sheetView>
  </sheetViews>
  <sheetFormatPr defaultRowHeight="15" x14ac:dyDescent="0.25"/>
  <cols>
    <col min="1" max="1" width="26.5703125" style="31" customWidth="1"/>
    <col min="2" max="2" width="8.85546875" style="32" bestFit="1" customWidth="1"/>
    <col min="3" max="3" width="8.85546875" style="74" bestFit="1" customWidth="1"/>
    <col min="4" max="4" width="10" style="74" bestFit="1" customWidth="1"/>
    <col min="5" max="16" width="13.28515625" style="75" bestFit="1" customWidth="1"/>
    <col min="17" max="17" width="12.140625" style="75" bestFit="1" customWidth="1"/>
    <col min="18" max="18" width="11.7109375" style="75" bestFit="1" customWidth="1"/>
    <col min="19" max="19" width="10" style="31" bestFit="1" customWidth="1"/>
    <col min="20" max="20" width="38" style="31" bestFit="1" customWidth="1"/>
    <col min="21" max="21" width="53.5703125" style="31" bestFit="1" customWidth="1"/>
    <col min="22" max="16384" width="9.140625" style="31"/>
  </cols>
  <sheetData>
    <row r="1" spans="1:21" x14ac:dyDescent="0.25">
      <c r="A1" s="12" t="s">
        <v>406</v>
      </c>
      <c r="T1" s="31" t="s">
        <v>382</v>
      </c>
    </row>
    <row r="2" spans="1:21" x14ac:dyDescent="0.25">
      <c r="A2" s="12" t="s">
        <v>356</v>
      </c>
    </row>
    <row r="4" spans="1:21" s="76" customFormat="1" x14ac:dyDescent="0.25">
      <c r="A4" s="76" t="s">
        <v>357</v>
      </c>
      <c r="B4" s="76" t="s">
        <v>214</v>
      </c>
      <c r="C4" s="77" t="s">
        <v>358</v>
      </c>
      <c r="D4" s="77" t="s">
        <v>404</v>
      </c>
      <c r="E4" s="78" t="s">
        <v>392</v>
      </c>
      <c r="F4" s="78" t="s">
        <v>393</v>
      </c>
      <c r="G4" s="78" t="s">
        <v>394</v>
      </c>
      <c r="H4" s="78" t="s">
        <v>395</v>
      </c>
      <c r="I4" s="78" t="s">
        <v>396</v>
      </c>
      <c r="J4" s="78" t="s">
        <v>397</v>
      </c>
      <c r="K4" s="78" t="s">
        <v>398</v>
      </c>
      <c r="L4" s="78" t="s">
        <v>399</v>
      </c>
      <c r="M4" s="78" t="s">
        <v>400</v>
      </c>
      <c r="N4" s="78" t="s">
        <v>401</v>
      </c>
      <c r="O4" s="78" t="s">
        <v>402</v>
      </c>
      <c r="P4" s="78" t="s">
        <v>403</v>
      </c>
      <c r="Q4" s="79" t="s">
        <v>165</v>
      </c>
      <c r="R4" s="79" t="s">
        <v>383</v>
      </c>
      <c r="S4" s="76" t="s">
        <v>384</v>
      </c>
      <c r="T4" s="76" t="s">
        <v>385</v>
      </c>
      <c r="U4" s="76" t="s">
        <v>386</v>
      </c>
    </row>
    <row r="5" spans="1:21" s="54" customFormat="1" x14ac:dyDescent="0.25">
      <c r="A5" s="157" t="s">
        <v>491</v>
      </c>
      <c r="B5" s="165" t="s">
        <v>499</v>
      </c>
      <c r="C5" s="158"/>
      <c r="D5" s="159">
        <v>26.997894736842106</v>
      </c>
      <c r="E5" s="86">
        <v>23609.919999999998</v>
      </c>
      <c r="F5" s="86">
        <f>E5</f>
        <v>23609.919999999998</v>
      </c>
      <c r="G5" s="164">
        <v>25029.99</v>
      </c>
      <c r="H5" s="86">
        <f t="shared" ref="G5:P12" si="0">G5</f>
        <v>25029.99</v>
      </c>
      <c r="I5" s="86">
        <f t="shared" si="0"/>
        <v>25029.99</v>
      </c>
      <c r="J5" s="86">
        <f t="shared" si="0"/>
        <v>25029.99</v>
      </c>
      <c r="K5" s="86">
        <f t="shared" si="0"/>
        <v>25029.99</v>
      </c>
      <c r="L5" s="86">
        <f t="shared" si="0"/>
        <v>25029.99</v>
      </c>
      <c r="M5" s="86">
        <f t="shared" si="0"/>
        <v>25029.99</v>
      </c>
      <c r="N5" s="86">
        <f t="shared" si="0"/>
        <v>25029.99</v>
      </c>
      <c r="O5" s="86">
        <f t="shared" si="0"/>
        <v>25029.99</v>
      </c>
      <c r="P5" s="86">
        <f t="shared" si="0"/>
        <v>25029.99</v>
      </c>
      <c r="Q5" s="86">
        <f>SUM(E5:P5)</f>
        <v>297519.74</v>
      </c>
      <c r="R5" s="86"/>
      <c r="T5" s="54" t="s">
        <v>380</v>
      </c>
    </row>
    <row r="6" spans="1:21" s="54" customFormat="1" x14ac:dyDescent="0.25">
      <c r="A6" s="54" t="s">
        <v>492</v>
      </c>
      <c r="B6" s="165" t="s">
        <v>499</v>
      </c>
      <c r="C6" s="158"/>
      <c r="D6" s="159">
        <v>16.23</v>
      </c>
      <c r="E6" s="86">
        <v>2708.33</v>
      </c>
      <c r="F6" s="86">
        <f t="shared" ref="F6:P6" si="1">E6</f>
        <v>2708.33</v>
      </c>
      <c r="G6" s="86">
        <f t="shared" si="0"/>
        <v>2708.33</v>
      </c>
      <c r="H6" s="86">
        <f t="shared" si="0"/>
        <v>2708.33</v>
      </c>
      <c r="I6" s="86">
        <f t="shared" si="0"/>
        <v>2708.33</v>
      </c>
      <c r="J6" s="86">
        <f t="shared" si="0"/>
        <v>2708.33</v>
      </c>
      <c r="K6" s="86">
        <f t="shared" si="0"/>
        <v>2708.33</v>
      </c>
      <c r="L6" s="86">
        <f t="shared" si="0"/>
        <v>2708.33</v>
      </c>
      <c r="M6" s="86">
        <f t="shared" si="0"/>
        <v>2708.33</v>
      </c>
      <c r="N6" s="86">
        <f t="shared" si="0"/>
        <v>2708.33</v>
      </c>
      <c r="O6" s="86">
        <f t="shared" si="0"/>
        <v>2708.33</v>
      </c>
      <c r="P6" s="86">
        <f t="shared" si="0"/>
        <v>2708.33</v>
      </c>
      <c r="Q6" s="86">
        <f t="shared" ref="Q6:Q13" si="2">SUM(E6:P6)</f>
        <v>32499.960000000006</v>
      </c>
      <c r="R6" s="86"/>
      <c r="T6" s="54" t="s">
        <v>387</v>
      </c>
    </row>
    <row r="7" spans="1:21" s="54" customFormat="1" x14ac:dyDescent="0.25">
      <c r="A7" s="54" t="s">
        <v>493</v>
      </c>
      <c r="B7" s="165" t="s">
        <v>499</v>
      </c>
      <c r="C7" s="158"/>
      <c r="D7" s="159">
        <v>21.492967741935484</v>
      </c>
      <c r="E7" s="86">
        <v>3472.73</v>
      </c>
      <c r="F7" s="86">
        <f t="shared" ref="F7:P7" si="3">E7</f>
        <v>3472.73</v>
      </c>
      <c r="G7" s="86">
        <f t="shared" si="0"/>
        <v>3472.73</v>
      </c>
      <c r="H7" s="86">
        <f t="shared" si="0"/>
        <v>3472.73</v>
      </c>
      <c r="I7" s="86">
        <f t="shared" si="0"/>
        <v>3472.73</v>
      </c>
      <c r="J7" s="86">
        <f t="shared" si="0"/>
        <v>3472.73</v>
      </c>
      <c r="K7" s="86">
        <f t="shared" si="0"/>
        <v>3472.73</v>
      </c>
      <c r="L7" s="86">
        <f t="shared" si="0"/>
        <v>3472.73</v>
      </c>
      <c r="M7" s="86">
        <f t="shared" si="0"/>
        <v>3472.73</v>
      </c>
      <c r="N7" s="86">
        <f t="shared" si="0"/>
        <v>3472.73</v>
      </c>
      <c r="O7" s="86">
        <f t="shared" si="0"/>
        <v>3472.73</v>
      </c>
      <c r="P7" s="86">
        <f t="shared" si="0"/>
        <v>3472.73</v>
      </c>
      <c r="Q7" s="86">
        <f t="shared" si="2"/>
        <v>41672.760000000009</v>
      </c>
      <c r="R7" s="86"/>
      <c r="T7" s="54" t="s">
        <v>388</v>
      </c>
    </row>
    <row r="8" spans="1:21" s="54" customFormat="1" x14ac:dyDescent="0.25">
      <c r="A8" s="54" t="s">
        <v>494</v>
      </c>
      <c r="B8" s="165" t="s">
        <v>499</v>
      </c>
      <c r="C8" s="158"/>
      <c r="D8" s="159">
        <v>24.041065573770489</v>
      </c>
      <c r="E8" s="164">
        <v>4249.79</v>
      </c>
      <c r="F8" s="86">
        <f t="shared" ref="F8:P8" si="4">E8</f>
        <v>4249.79</v>
      </c>
      <c r="G8" s="86">
        <f t="shared" si="0"/>
        <v>4249.79</v>
      </c>
      <c r="H8" s="86">
        <f t="shared" si="0"/>
        <v>4249.79</v>
      </c>
      <c r="I8" s="86">
        <f t="shared" si="0"/>
        <v>4249.79</v>
      </c>
      <c r="J8" s="86">
        <f t="shared" si="0"/>
        <v>4249.79</v>
      </c>
      <c r="K8" s="86">
        <f t="shared" si="0"/>
        <v>4249.79</v>
      </c>
      <c r="L8" s="86">
        <f t="shared" si="0"/>
        <v>4249.79</v>
      </c>
      <c r="M8" s="86">
        <f t="shared" si="0"/>
        <v>4249.79</v>
      </c>
      <c r="N8" s="86">
        <f t="shared" si="0"/>
        <v>4249.79</v>
      </c>
      <c r="O8" s="86">
        <f t="shared" si="0"/>
        <v>4249.79</v>
      </c>
      <c r="P8" s="86">
        <f t="shared" si="0"/>
        <v>4249.79</v>
      </c>
      <c r="Q8" s="86">
        <f t="shared" si="2"/>
        <v>50997.48</v>
      </c>
      <c r="R8" s="86"/>
      <c r="T8" s="54" t="s">
        <v>389</v>
      </c>
    </row>
    <row r="9" spans="1:21" s="54" customFormat="1" x14ac:dyDescent="0.25">
      <c r="A9" s="54" t="s">
        <v>495</v>
      </c>
      <c r="B9" s="165" t="s">
        <v>499</v>
      </c>
      <c r="C9" s="158"/>
      <c r="D9" s="159">
        <v>24.345592105263155</v>
      </c>
      <c r="E9" s="86">
        <v>3150</v>
      </c>
      <c r="F9" s="86">
        <f t="shared" ref="F9:P9" si="5">E9</f>
        <v>3150</v>
      </c>
      <c r="G9" s="86">
        <f t="shared" si="0"/>
        <v>3150</v>
      </c>
      <c r="H9" s="86">
        <f t="shared" si="0"/>
        <v>3150</v>
      </c>
      <c r="I9" s="86">
        <f t="shared" si="0"/>
        <v>3150</v>
      </c>
      <c r="J9" s="86">
        <f t="shared" si="0"/>
        <v>3150</v>
      </c>
      <c r="K9" s="86">
        <f t="shared" si="0"/>
        <v>3150</v>
      </c>
      <c r="L9" s="86">
        <f t="shared" si="0"/>
        <v>3150</v>
      </c>
      <c r="M9" s="86">
        <f t="shared" si="0"/>
        <v>3150</v>
      </c>
      <c r="N9" s="86">
        <f t="shared" si="0"/>
        <v>3150</v>
      </c>
      <c r="O9" s="86">
        <f t="shared" si="0"/>
        <v>3150</v>
      </c>
      <c r="P9" s="86">
        <f t="shared" si="0"/>
        <v>3150</v>
      </c>
      <c r="Q9" s="86">
        <f t="shared" si="2"/>
        <v>37800</v>
      </c>
      <c r="R9" s="86"/>
      <c r="T9" s="54" t="s">
        <v>378</v>
      </c>
    </row>
    <row r="10" spans="1:21" s="54" customFormat="1" x14ac:dyDescent="0.25">
      <c r="A10" s="54" t="s">
        <v>496</v>
      </c>
      <c r="B10" s="165" t="s">
        <v>499</v>
      </c>
      <c r="C10" s="158"/>
      <c r="D10" s="158">
        <v>16</v>
      </c>
      <c r="E10" s="86">
        <v>4250</v>
      </c>
      <c r="F10" s="86">
        <f t="shared" ref="F10:P10" si="6">E10</f>
        <v>4250</v>
      </c>
      <c r="G10" s="86">
        <f t="shared" si="0"/>
        <v>4250</v>
      </c>
      <c r="H10" s="86">
        <f t="shared" si="0"/>
        <v>4250</v>
      </c>
      <c r="I10" s="86">
        <f t="shared" si="0"/>
        <v>4250</v>
      </c>
      <c r="J10" s="86">
        <f t="shared" si="0"/>
        <v>4250</v>
      </c>
      <c r="K10" s="86">
        <f t="shared" si="0"/>
        <v>4250</v>
      </c>
      <c r="L10" s="86">
        <f t="shared" si="0"/>
        <v>4250</v>
      </c>
      <c r="M10" s="86">
        <f t="shared" si="0"/>
        <v>4250</v>
      </c>
      <c r="N10" s="86">
        <f t="shared" si="0"/>
        <v>4250</v>
      </c>
      <c r="O10" s="86">
        <f t="shared" si="0"/>
        <v>4250</v>
      </c>
      <c r="P10" s="86">
        <f t="shared" si="0"/>
        <v>4250</v>
      </c>
      <c r="Q10" s="86">
        <f t="shared" si="2"/>
        <v>51000</v>
      </c>
      <c r="R10" s="86"/>
      <c r="T10" s="54" t="s">
        <v>379</v>
      </c>
    </row>
    <row r="11" spans="1:21" s="54" customFormat="1" x14ac:dyDescent="0.25">
      <c r="A11" s="54" t="s">
        <v>497</v>
      </c>
      <c r="B11" s="165" t="s">
        <v>499</v>
      </c>
      <c r="C11" s="160"/>
      <c r="D11" s="158">
        <v>21.995999999999999</v>
      </c>
      <c r="E11" s="86">
        <v>7584.17</v>
      </c>
      <c r="F11" s="86">
        <f t="shared" ref="F11:P11" si="7">E11</f>
        <v>7584.17</v>
      </c>
      <c r="G11" s="86">
        <f t="shared" si="0"/>
        <v>7584.17</v>
      </c>
      <c r="H11" s="86">
        <f t="shared" si="0"/>
        <v>7584.17</v>
      </c>
      <c r="I11" s="86">
        <f t="shared" si="0"/>
        <v>7584.17</v>
      </c>
      <c r="J11" s="86">
        <f t="shared" si="0"/>
        <v>7584.17</v>
      </c>
      <c r="K11" s="86">
        <f t="shared" si="0"/>
        <v>7584.17</v>
      </c>
      <c r="L11" s="86">
        <f t="shared" si="0"/>
        <v>7584.17</v>
      </c>
      <c r="M11" s="86">
        <f t="shared" si="0"/>
        <v>7584.17</v>
      </c>
      <c r="N11" s="86">
        <f t="shared" si="0"/>
        <v>7584.17</v>
      </c>
      <c r="O11" s="86">
        <f t="shared" si="0"/>
        <v>7584.17</v>
      </c>
      <c r="P11" s="86">
        <f t="shared" si="0"/>
        <v>7584.17</v>
      </c>
      <c r="Q11" s="86">
        <f t="shared" si="2"/>
        <v>91010.04</v>
      </c>
      <c r="R11" s="86"/>
      <c r="T11" s="54" t="s">
        <v>381</v>
      </c>
      <c r="U11" s="54" t="s">
        <v>390</v>
      </c>
    </row>
    <row r="12" spans="1:21" s="161" customFormat="1" x14ac:dyDescent="0.25">
      <c r="A12" s="161" t="s">
        <v>498</v>
      </c>
      <c r="B12" s="165" t="s">
        <v>499</v>
      </c>
      <c r="C12" s="162"/>
      <c r="D12" s="162">
        <v>20</v>
      </c>
      <c r="E12" s="163">
        <v>3421.42</v>
      </c>
      <c r="F12" s="86">
        <f t="shared" ref="F12:P12" si="8">E12</f>
        <v>3421.42</v>
      </c>
      <c r="G12" s="86">
        <f t="shared" si="0"/>
        <v>3421.42</v>
      </c>
      <c r="H12" s="86">
        <f t="shared" si="0"/>
        <v>3421.42</v>
      </c>
      <c r="I12" s="86">
        <f t="shared" si="0"/>
        <v>3421.42</v>
      </c>
      <c r="J12" s="86">
        <f t="shared" si="0"/>
        <v>3421.42</v>
      </c>
      <c r="K12" s="86">
        <f t="shared" si="0"/>
        <v>3421.42</v>
      </c>
      <c r="L12" s="86">
        <f t="shared" si="0"/>
        <v>3421.42</v>
      </c>
      <c r="M12" s="86">
        <f t="shared" si="0"/>
        <v>3421.42</v>
      </c>
      <c r="N12" s="86">
        <f t="shared" si="0"/>
        <v>3421.42</v>
      </c>
      <c r="O12" s="86">
        <f t="shared" si="0"/>
        <v>3421.42</v>
      </c>
      <c r="P12" s="86">
        <f t="shared" si="0"/>
        <v>3421.42</v>
      </c>
      <c r="Q12" s="163">
        <f t="shared" si="2"/>
        <v>41057.039999999986</v>
      </c>
      <c r="R12" s="163"/>
      <c r="T12" s="161" t="s">
        <v>391</v>
      </c>
    </row>
    <row r="13" spans="1:21" x14ac:dyDescent="0.25">
      <c r="Q13" s="75">
        <f t="shared" si="2"/>
        <v>0</v>
      </c>
      <c r="T13" s="31">
        <v>0</v>
      </c>
    </row>
    <row r="14" spans="1:21" x14ac:dyDescent="0.25">
      <c r="T14" s="31">
        <v>0</v>
      </c>
    </row>
    <row r="18" spans="1:17" x14ac:dyDescent="0.25">
      <c r="A18" s="31" t="s">
        <v>363</v>
      </c>
      <c r="C18" s="74">
        <f t="shared" ref="C18:P18" si="9">SUM(C5:C17)</f>
        <v>0</v>
      </c>
      <c r="D18" s="74">
        <f t="shared" si="9"/>
        <v>171.10352015781123</v>
      </c>
      <c r="E18" s="94">
        <f t="shared" si="9"/>
        <v>52446.359999999993</v>
      </c>
      <c r="F18" s="94">
        <f t="shared" si="9"/>
        <v>52446.359999999993</v>
      </c>
      <c r="G18" s="94">
        <f t="shared" si="9"/>
        <v>53866.429999999993</v>
      </c>
      <c r="H18" s="94">
        <f t="shared" si="9"/>
        <v>53866.429999999993</v>
      </c>
      <c r="I18" s="94">
        <f t="shared" si="9"/>
        <v>53866.429999999993</v>
      </c>
      <c r="J18" s="94">
        <f t="shared" si="9"/>
        <v>53866.429999999993</v>
      </c>
      <c r="K18" s="94">
        <f t="shared" si="9"/>
        <v>53866.429999999993</v>
      </c>
      <c r="L18" s="94">
        <f t="shared" si="9"/>
        <v>53866.429999999993</v>
      </c>
      <c r="M18" s="94">
        <f t="shared" si="9"/>
        <v>53866.429999999993</v>
      </c>
      <c r="N18" s="94">
        <f t="shared" si="9"/>
        <v>53866.429999999993</v>
      </c>
      <c r="O18" s="94">
        <f t="shared" si="9"/>
        <v>53866.429999999993</v>
      </c>
      <c r="P18" s="94">
        <f t="shared" si="9"/>
        <v>53866.429999999993</v>
      </c>
      <c r="Q18" s="75">
        <f>SUM(Q5:Q13)</f>
        <v>643557.02</v>
      </c>
    </row>
    <row r="19" spans="1:17" x14ac:dyDescent="0.25">
      <c r="Q19" s="75">
        <f>SUM(E18:P18)</f>
        <v>643557.01999999979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90" zoomScaleNormal="90"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E18" sqref="E18"/>
    </sheetView>
  </sheetViews>
  <sheetFormatPr defaultRowHeight="15" x14ac:dyDescent="0.25"/>
  <cols>
    <col min="1" max="1" width="38" style="31" bestFit="1" customWidth="1"/>
    <col min="2" max="2" width="8.85546875" style="32" bestFit="1" customWidth="1"/>
    <col min="3" max="3" width="7.140625" style="74" bestFit="1" customWidth="1"/>
    <col min="4" max="4" width="8.42578125" style="74" bestFit="1" customWidth="1"/>
    <col min="5" max="16" width="10.5703125" style="75" bestFit="1" customWidth="1"/>
    <col min="17" max="17" width="12.140625" style="75" bestFit="1" customWidth="1"/>
    <col min="18" max="18" width="11.5703125" style="75" bestFit="1" customWidth="1"/>
    <col min="19" max="19" width="8.7109375" style="31" bestFit="1" customWidth="1"/>
    <col min="20" max="20" width="12.140625" style="31" bestFit="1" customWidth="1"/>
    <col min="21" max="16384" width="9.140625" style="31"/>
  </cols>
  <sheetData>
    <row r="1" spans="1:20" x14ac:dyDescent="0.25">
      <c r="A1" s="12" t="s">
        <v>405</v>
      </c>
    </row>
    <row r="2" spans="1:20" x14ac:dyDescent="0.25">
      <c r="A2" s="12" t="s">
        <v>364</v>
      </c>
    </row>
    <row r="4" spans="1:20" s="76" customFormat="1" x14ac:dyDescent="0.25">
      <c r="A4" s="76" t="s">
        <v>357</v>
      </c>
      <c r="B4" s="76" t="s">
        <v>214</v>
      </c>
      <c r="C4" s="77" t="s">
        <v>358</v>
      </c>
      <c r="D4" s="77" t="s">
        <v>404</v>
      </c>
      <c r="E4" s="78" t="s">
        <v>392</v>
      </c>
      <c r="F4" s="78" t="s">
        <v>393</v>
      </c>
      <c r="G4" s="78" t="s">
        <v>394</v>
      </c>
      <c r="H4" s="78" t="s">
        <v>395</v>
      </c>
      <c r="I4" s="78" t="s">
        <v>396</v>
      </c>
      <c r="J4" s="78" t="s">
        <v>397</v>
      </c>
      <c r="K4" s="78" t="s">
        <v>398</v>
      </c>
      <c r="L4" s="78" t="s">
        <v>399</v>
      </c>
      <c r="M4" s="78" t="s">
        <v>400</v>
      </c>
      <c r="N4" s="78" t="s">
        <v>401</v>
      </c>
      <c r="O4" s="78" t="s">
        <v>402</v>
      </c>
      <c r="P4" s="78" t="s">
        <v>403</v>
      </c>
      <c r="Q4" s="79" t="s">
        <v>165</v>
      </c>
      <c r="R4" s="79" t="s">
        <v>359</v>
      </c>
      <c r="S4" s="76" t="s">
        <v>0</v>
      </c>
      <c r="T4" s="76" t="s">
        <v>203</v>
      </c>
    </row>
    <row r="6" spans="1:20" s="54" customFormat="1" x14ac:dyDescent="0.25">
      <c r="A6" s="157" t="s">
        <v>491</v>
      </c>
      <c r="B6" s="165" t="s">
        <v>499</v>
      </c>
      <c r="C6" s="158">
        <v>2850</v>
      </c>
      <c r="D6" s="159">
        <v>26.997894736842106</v>
      </c>
      <c r="E6" s="86">
        <v>3552.17</v>
      </c>
      <c r="F6" s="86">
        <f>E6</f>
        <v>3552.17</v>
      </c>
      <c r="G6" s="86">
        <f t="shared" ref="G6:P6" si="0">F6</f>
        <v>3552.17</v>
      </c>
      <c r="H6" s="86">
        <f t="shared" si="0"/>
        <v>3552.17</v>
      </c>
      <c r="I6" s="86">
        <f t="shared" si="0"/>
        <v>3552.17</v>
      </c>
      <c r="J6" s="86">
        <f t="shared" si="0"/>
        <v>3552.17</v>
      </c>
      <c r="K6" s="86">
        <f t="shared" si="0"/>
        <v>3552.17</v>
      </c>
      <c r="L6" s="86">
        <f t="shared" si="0"/>
        <v>3552.17</v>
      </c>
      <c r="M6" s="86">
        <f t="shared" si="0"/>
        <v>3552.17</v>
      </c>
      <c r="N6" s="86">
        <f t="shared" si="0"/>
        <v>3552.17</v>
      </c>
      <c r="O6" s="86">
        <f t="shared" si="0"/>
        <v>3552.17</v>
      </c>
      <c r="P6" s="86">
        <f t="shared" si="0"/>
        <v>3552.17</v>
      </c>
      <c r="Q6" s="86">
        <f>SUM(E6:P6)</f>
        <v>42626.039999999986</v>
      </c>
      <c r="R6" s="86"/>
    </row>
    <row r="7" spans="1:20" s="54" customFormat="1" x14ac:dyDescent="0.25">
      <c r="A7" s="54" t="s">
        <v>492</v>
      </c>
      <c r="B7" s="165" t="s">
        <v>499</v>
      </c>
      <c r="C7" s="158">
        <f>12835+1958+2403</f>
        <v>17196</v>
      </c>
      <c r="D7" s="159">
        <v>16.23</v>
      </c>
      <c r="E7" s="86">
        <v>395.44</v>
      </c>
      <c r="F7" s="86">
        <f t="shared" ref="F7:P13" si="1">E7</f>
        <v>395.44</v>
      </c>
      <c r="G7" s="86">
        <f t="shared" si="1"/>
        <v>395.44</v>
      </c>
      <c r="H7" s="86">
        <f t="shared" si="1"/>
        <v>395.44</v>
      </c>
      <c r="I7" s="86">
        <f t="shared" si="1"/>
        <v>395.44</v>
      </c>
      <c r="J7" s="86">
        <f t="shared" si="1"/>
        <v>395.44</v>
      </c>
      <c r="K7" s="86">
        <f t="shared" si="1"/>
        <v>395.44</v>
      </c>
      <c r="L7" s="86">
        <f t="shared" si="1"/>
        <v>395.44</v>
      </c>
      <c r="M7" s="86">
        <f t="shared" si="1"/>
        <v>395.44</v>
      </c>
      <c r="N7" s="86">
        <f t="shared" si="1"/>
        <v>395.44</v>
      </c>
      <c r="O7" s="86">
        <f t="shared" si="1"/>
        <v>395.44</v>
      </c>
      <c r="P7" s="86">
        <f t="shared" si="1"/>
        <v>395.44</v>
      </c>
      <c r="Q7" s="86">
        <f t="shared" ref="Q7:Q9" si="2">SUM(E7:P7)</f>
        <v>4745.28</v>
      </c>
      <c r="R7" s="86"/>
    </row>
    <row r="8" spans="1:20" s="54" customFormat="1" x14ac:dyDescent="0.25">
      <c r="A8" s="54" t="s">
        <v>493</v>
      </c>
      <c r="B8" s="165" t="s">
        <v>499</v>
      </c>
      <c r="C8" s="158">
        <v>1240</v>
      </c>
      <c r="D8" s="159">
        <v>21.492967741935484</v>
      </c>
      <c r="E8" s="86">
        <v>258.31</v>
      </c>
      <c r="F8" s="86">
        <f t="shared" si="1"/>
        <v>258.31</v>
      </c>
      <c r="G8" s="86">
        <f t="shared" si="1"/>
        <v>258.31</v>
      </c>
      <c r="H8" s="86">
        <f t="shared" si="1"/>
        <v>258.31</v>
      </c>
      <c r="I8" s="86">
        <f t="shared" si="1"/>
        <v>258.31</v>
      </c>
      <c r="J8" s="86">
        <f t="shared" si="1"/>
        <v>258.31</v>
      </c>
      <c r="K8" s="86">
        <f t="shared" si="1"/>
        <v>258.31</v>
      </c>
      <c r="L8" s="86">
        <f t="shared" si="1"/>
        <v>258.31</v>
      </c>
      <c r="M8" s="86">
        <f t="shared" si="1"/>
        <v>258.31</v>
      </c>
      <c r="N8" s="86">
        <f t="shared" si="1"/>
        <v>258.31</v>
      </c>
      <c r="O8" s="86">
        <f t="shared" si="1"/>
        <v>258.31</v>
      </c>
      <c r="P8" s="86">
        <f t="shared" si="1"/>
        <v>258.31</v>
      </c>
      <c r="Q8" s="86">
        <f t="shared" si="2"/>
        <v>3099.72</v>
      </c>
      <c r="R8" s="86"/>
    </row>
    <row r="9" spans="1:20" s="54" customFormat="1" x14ac:dyDescent="0.25">
      <c r="A9" s="54" t="s">
        <v>494</v>
      </c>
      <c r="B9" s="165" t="s">
        <v>499</v>
      </c>
      <c r="C9" s="158">
        <v>976</v>
      </c>
      <c r="D9" s="159">
        <v>24.041065573770489</v>
      </c>
      <c r="E9" s="86">
        <v>885.53</v>
      </c>
      <c r="F9" s="86">
        <f t="shared" si="1"/>
        <v>885.53</v>
      </c>
      <c r="G9" s="86">
        <f t="shared" si="1"/>
        <v>885.53</v>
      </c>
      <c r="H9" s="86">
        <f t="shared" si="1"/>
        <v>885.53</v>
      </c>
      <c r="I9" s="86">
        <f t="shared" si="1"/>
        <v>885.53</v>
      </c>
      <c r="J9" s="86">
        <f t="shared" si="1"/>
        <v>885.53</v>
      </c>
      <c r="K9" s="86">
        <f t="shared" si="1"/>
        <v>885.53</v>
      </c>
      <c r="L9" s="86">
        <f t="shared" si="1"/>
        <v>885.53</v>
      </c>
      <c r="M9" s="86">
        <f t="shared" si="1"/>
        <v>885.53</v>
      </c>
      <c r="N9" s="86">
        <f t="shared" si="1"/>
        <v>885.53</v>
      </c>
      <c r="O9" s="86">
        <f t="shared" si="1"/>
        <v>885.53</v>
      </c>
      <c r="P9" s="86">
        <f t="shared" si="1"/>
        <v>885.53</v>
      </c>
      <c r="Q9" s="86">
        <f t="shared" si="2"/>
        <v>10626.36</v>
      </c>
      <c r="R9" s="86"/>
    </row>
    <row r="10" spans="1:20" s="54" customFormat="1" x14ac:dyDescent="0.25">
      <c r="A10" s="54" t="s">
        <v>495</v>
      </c>
      <c r="B10" s="165" t="s">
        <v>499</v>
      </c>
      <c r="C10" s="158">
        <v>1216</v>
      </c>
      <c r="D10" s="159">
        <v>24.345592105263155</v>
      </c>
      <c r="E10" s="86">
        <v>0</v>
      </c>
      <c r="F10" s="86">
        <f t="shared" si="1"/>
        <v>0</v>
      </c>
      <c r="G10" s="86">
        <f t="shared" si="1"/>
        <v>0</v>
      </c>
      <c r="H10" s="86">
        <f t="shared" si="1"/>
        <v>0</v>
      </c>
      <c r="I10" s="86">
        <f t="shared" si="1"/>
        <v>0</v>
      </c>
      <c r="J10" s="86">
        <f t="shared" si="1"/>
        <v>0</v>
      </c>
      <c r="K10" s="86">
        <f t="shared" si="1"/>
        <v>0</v>
      </c>
      <c r="L10" s="86">
        <f t="shared" si="1"/>
        <v>0</v>
      </c>
      <c r="M10" s="86">
        <f t="shared" si="1"/>
        <v>0</v>
      </c>
      <c r="N10" s="86">
        <f t="shared" si="1"/>
        <v>0</v>
      </c>
      <c r="O10" s="86">
        <f t="shared" si="1"/>
        <v>0</v>
      </c>
      <c r="P10" s="86">
        <f t="shared" si="1"/>
        <v>0</v>
      </c>
      <c r="Q10" s="86">
        <f>SUM(E10:P10)</f>
        <v>0</v>
      </c>
      <c r="R10" s="86"/>
    </row>
    <row r="11" spans="1:20" s="54" customFormat="1" x14ac:dyDescent="0.25">
      <c r="A11" s="54" t="s">
        <v>496</v>
      </c>
      <c r="B11" s="165" t="s">
        <v>499</v>
      </c>
      <c r="C11" s="158">
        <v>24000</v>
      </c>
      <c r="D11" s="158">
        <v>16</v>
      </c>
      <c r="E11" s="86">
        <v>435.93</v>
      </c>
      <c r="F11" s="86">
        <f t="shared" si="1"/>
        <v>435.93</v>
      </c>
      <c r="G11" s="86">
        <f t="shared" si="1"/>
        <v>435.93</v>
      </c>
      <c r="H11" s="86">
        <f t="shared" si="1"/>
        <v>435.93</v>
      </c>
      <c r="I11" s="86">
        <f t="shared" si="1"/>
        <v>435.93</v>
      </c>
      <c r="J11" s="86">
        <f t="shared" si="1"/>
        <v>435.93</v>
      </c>
      <c r="K11" s="86">
        <f t="shared" si="1"/>
        <v>435.93</v>
      </c>
      <c r="L11" s="86">
        <f t="shared" si="1"/>
        <v>435.93</v>
      </c>
      <c r="M11" s="86">
        <f t="shared" si="1"/>
        <v>435.93</v>
      </c>
      <c r="N11" s="86">
        <f t="shared" si="1"/>
        <v>435.93</v>
      </c>
      <c r="O11" s="86">
        <f t="shared" si="1"/>
        <v>435.93</v>
      </c>
      <c r="P11" s="86">
        <f t="shared" si="1"/>
        <v>435.93</v>
      </c>
      <c r="Q11" s="86">
        <f t="shared" ref="Q11:Q13" si="3">SUM(E11:P11)</f>
        <v>5231.16</v>
      </c>
      <c r="R11" s="86"/>
      <c r="T11" s="54" t="s">
        <v>360</v>
      </c>
    </row>
    <row r="12" spans="1:20" s="54" customFormat="1" x14ac:dyDescent="0.25">
      <c r="A12" s="54" t="s">
        <v>497</v>
      </c>
      <c r="B12" s="165" t="s">
        <v>499</v>
      </c>
      <c r="C12" s="160">
        <v>2000</v>
      </c>
      <c r="D12" s="158">
        <v>21.995999999999999</v>
      </c>
      <c r="E12" s="86">
        <v>816.1</v>
      </c>
      <c r="F12" s="86">
        <f t="shared" si="1"/>
        <v>816.1</v>
      </c>
      <c r="G12" s="86">
        <f t="shared" si="1"/>
        <v>816.1</v>
      </c>
      <c r="H12" s="86">
        <f t="shared" si="1"/>
        <v>816.1</v>
      </c>
      <c r="I12" s="86">
        <f t="shared" si="1"/>
        <v>816.1</v>
      </c>
      <c r="J12" s="86">
        <f t="shared" si="1"/>
        <v>816.1</v>
      </c>
      <c r="K12" s="86">
        <f t="shared" si="1"/>
        <v>816.1</v>
      </c>
      <c r="L12" s="86">
        <f t="shared" si="1"/>
        <v>816.1</v>
      </c>
      <c r="M12" s="86">
        <f t="shared" si="1"/>
        <v>816.1</v>
      </c>
      <c r="N12" s="86">
        <f t="shared" si="1"/>
        <v>816.1</v>
      </c>
      <c r="O12" s="86">
        <f t="shared" si="1"/>
        <v>816.1</v>
      </c>
      <c r="P12" s="86">
        <f t="shared" si="1"/>
        <v>816.1</v>
      </c>
      <c r="Q12" s="86">
        <f t="shared" si="3"/>
        <v>9793.2000000000025</v>
      </c>
      <c r="R12" s="86"/>
      <c r="T12" s="54" t="s">
        <v>361</v>
      </c>
    </row>
    <row r="13" spans="1:20" s="54" customFormat="1" x14ac:dyDescent="0.25">
      <c r="A13" s="161" t="s">
        <v>498</v>
      </c>
      <c r="B13" s="165" t="s">
        <v>499</v>
      </c>
      <c r="C13" s="162">
        <v>1980</v>
      </c>
      <c r="D13" s="162">
        <v>20</v>
      </c>
      <c r="E13" s="163">
        <v>464.4</v>
      </c>
      <c r="F13" s="86">
        <f t="shared" si="1"/>
        <v>464.4</v>
      </c>
      <c r="G13" s="86">
        <f t="shared" si="1"/>
        <v>464.4</v>
      </c>
      <c r="H13" s="86">
        <f t="shared" si="1"/>
        <v>464.4</v>
      </c>
      <c r="I13" s="86">
        <f t="shared" si="1"/>
        <v>464.4</v>
      </c>
      <c r="J13" s="86">
        <f t="shared" si="1"/>
        <v>464.4</v>
      </c>
      <c r="K13" s="86">
        <f t="shared" si="1"/>
        <v>464.4</v>
      </c>
      <c r="L13" s="86">
        <f t="shared" si="1"/>
        <v>464.4</v>
      </c>
      <c r="M13" s="86">
        <f t="shared" si="1"/>
        <v>464.4</v>
      </c>
      <c r="N13" s="86">
        <f t="shared" si="1"/>
        <v>464.4</v>
      </c>
      <c r="O13" s="86">
        <f t="shared" si="1"/>
        <v>464.4</v>
      </c>
      <c r="P13" s="86">
        <f t="shared" si="1"/>
        <v>464.4</v>
      </c>
      <c r="Q13" s="86">
        <f t="shared" si="3"/>
        <v>5572.7999999999993</v>
      </c>
      <c r="R13" s="86"/>
      <c r="T13" s="54" t="s">
        <v>362</v>
      </c>
    </row>
    <row r="14" spans="1:20" x14ac:dyDescent="0.25">
      <c r="A14" s="95"/>
      <c r="Q14" s="86"/>
    </row>
    <row r="15" spans="1:20" x14ac:dyDescent="0.25">
      <c r="A15" s="95"/>
      <c r="Q15" s="86"/>
    </row>
    <row r="16" spans="1:20" x14ac:dyDescent="0.25">
      <c r="A16" s="95"/>
      <c r="Q16" s="86"/>
    </row>
    <row r="17" spans="1:18" x14ac:dyDescent="0.25">
      <c r="A17" s="95"/>
      <c r="Q17" s="86"/>
    </row>
    <row r="18" spans="1:18" x14ac:dyDescent="0.25">
      <c r="A18" s="95"/>
      <c r="Q18" s="86"/>
    </row>
    <row r="19" spans="1:18" x14ac:dyDescent="0.25">
      <c r="C19" s="77">
        <f>SUM(C7:C13)</f>
        <v>48608</v>
      </c>
    </row>
    <row r="20" spans="1:18" s="87" customFormat="1" x14ac:dyDescent="0.25">
      <c r="A20" s="87" t="s">
        <v>206</v>
      </c>
      <c r="B20" s="88"/>
      <c r="C20" s="89"/>
      <c r="D20" s="89"/>
      <c r="E20" s="90">
        <f t="shared" ref="E20:P20" si="4">SUM(E6:E19)</f>
        <v>6807.88</v>
      </c>
      <c r="F20" s="90">
        <f t="shared" si="4"/>
        <v>6807.88</v>
      </c>
      <c r="G20" s="90">
        <f t="shared" si="4"/>
        <v>6807.88</v>
      </c>
      <c r="H20" s="90">
        <f t="shared" si="4"/>
        <v>6807.88</v>
      </c>
      <c r="I20" s="90">
        <f t="shared" si="4"/>
        <v>6807.88</v>
      </c>
      <c r="J20" s="90">
        <f t="shared" si="4"/>
        <v>6807.88</v>
      </c>
      <c r="K20" s="90">
        <f t="shared" si="4"/>
        <v>6807.88</v>
      </c>
      <c r="L20" s="90">
        <f t="shared" si="4"/>
        <v>6807.88</v>
      </c>
      <c r="M20" s="90">
        <f t="shared" si="4"/>
        <v>6807.88</v>
      </c>
      <c r="N20" s="90">
        <f t="shared" si="4"/>
        <v>6807.88</v>
      </c>
      <c r="O20" s="90">
        <f t="shared" si="4"/>
        <v>6807.88</v>
      </c>
      <c r="P20" s="90">
        <f t="shared" si="4"/>
        <v>6807.88</v>
      </c>
      <c r="Q20" s="90">
        <f>SUM(E20:P20)</f>
        <v>81694.559999999998</v>
      </c>
      <c r="R20" s="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zoomScale="90" zoomScaleNormal="90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K18" sqref="K18"/>
    </sheetView>
  </sheetViews>
  <sheetFormatPr defaultRowHeight="15" x14ac:dyDescent="0.25"/>
  <cols>
    <col min="1" max="1" width="40.42578125" style="31" customWidth="1"/>
    <col min="2" max="2" width="9.140625" style="32"/>
    <col min="3" max="4" width="9.140625" style="74"/>
    <col min="5" max="16" width="9.140625" style="75"/>
    <col min="17" max="17" width="11.5703125" style="75" bestFit="1" customWidth="1"/>
    <col min="18" max="18" width="9.140625" style="75"/>
    <col min="19" max="19" width="9.140625" style="31"/>
    <col min="20" max="20" width="65.28515625" style="31" customWidth="1"/>
    <col min="21" max="16384" width="9.140625" style="31"/>
  </cols>
  <sheetData>
    <row r="1" spans="1:20" x14ac:dyDescent="0.25">
      <c r="A1" s="12" t="s">
        <v>406</v>
      </c>
    </row>
    <row r="2" spans="1:20" x14ac:dyDescent="0.25">
      <c r="A2" s="12" t="s">
        <v>365</v>
      </c>
    </row>
    <row r="4" spans="1:20" s="76" customFormat="1" x14ac:dyDescent="0.25">
      <c r="A4" s="76" t="s">
        <v>357</v>
      </c>
      <c r="B4" s="76" t="s">
        <v>214</v>
      </c>
      <c r="C4" s="77" t="s">
        <v>358</v>
      </c>
      <c r="D4" s="77" t="s">
        <v>404</v>
      </c>
      <c r="E4" s="78" t="s">
        <v>392</v>
      </c>
      <c r="F4" s="78" t="s">
        <v>393</v>
      </c>
      <c r="G4" s="78" t="s">
        <v>394</v>
      </c>
      <c r="H4" s="78" t="s">
        <v>395</v>
      </c>
      <c r="I4" s="78" t="s">
        <v>396</v>
      </c>
      <c r="J4" s="78" t="s">
        <v>397</v>
      </c>
      <c r="K4" s="78" t="s">
        <v>398</v>
      </c>
      <c r="L4" s="78" t="s">
        <v>399</v>
      </c>
      <c r="M4" s="78" t="s">
        <v>400</v>
      </c>
      <c r="N4" s="78" t="s">
        <v>401</v>
      </c>
      <c r="O4" s="78" t="s">
        <v>402</v>
      </c>
      <c r="P4" s="78" t="s">
        <v>403</v>
      </c>
      <c r="Q4" s="79" t="s">
        <v>165</v>
      </c>
      <c r="R4" s="79" t="s">
        <v>359</v>
      </c>
      <c r="S4" s="76" t="s">
        <v>0</v>
      </c>
      <c r="T4" s="76" t="s">
        <v>203</v>
      </c>
    </row>
    <row r="6" spans="1:20" s="24" customFormat="1" x14ac:dyDescent="0.25">
      <c r="A6" s="157" t="s">
        <v>491</v>
      </c>
      <c r="B6" s="165" t="s">
        <v>499</v>
      </c>
      <c r="C6" s="74">
        <v>2850</v>
      </c>
      <c r="D6" s="83">
        <v>26.997894736842106</v>
      </c>
      <c r="E6" s="75">
        <f>52.77%*E21</f>
        <v>24177.182355000004</v>
      </c>
      <c r="F6" s="75">
        <f t="shared" ref="F6:P6" si="0">52.77%*F21</f>
        <v>0</v>
      </c>
      <c r="G6" s="75">
        <f t="shared" si="0"/>
        <v>0</v>
      </c>
      <c r="H6" s="75">
        <f t="shared" si="0"/>
        <v>24177.182355000004</v>
      </c>
      <c r="I6" s="75">
        <f t="shared" si="0"/>
        <v>0</v>
      </c>
      <c r="J6" s="75">
        <f t="shared" si="0"/>
        <v>0</v>
      </c>
      <c r="K6" s="75">
        <f t="shared" si="0"/>
        <v>24177.182355000004</v>
      </c>
      <c r="L6" s="75">
        <f t="shared" si="0"/>
        <v>0</v>
      </c>
      <c r="M6" s="75">
        <f t="shared" si="0"/>
        <v>0</v>
      </c>
      <c r="N6" s="75">
        <f t="shared" si="0"/>
        <v>24177.182355000004</v>
      </c>
      <c r="O6" s="75">
        <f t="shared" si="0"/>
        <v>0</v>
      </c>
      <c r="P6" s="75">
        <f t="shared" si="0"/>
        <v>0</v>
      </c>
      <c r="Q6" s="75">
        <f>SUM(E6:P6)</f>
        <v>96708.729420000018</v>
      </c>
      <c r="R6" s="82"/>
    </row>
    <row r="7" spans="1:20" x14ac:dyDescent="0.25">
      <c r="A7" s="54" t="s">
        <v>492</v>
      </c>
      <c r="B7" s="165" t="s">
        <v>499</v>
      </c>
      <c r="C7" s="80">
        <f>12835+1958+2403</f>
        <v>17196</v>
      </c>
      <c r="D7" s="81">
        <v>16.23</v>
      </c>
      <c r="E7" s="75">
        <f>5.239%*E21</f>
        <v>2400.3080985000001</v>
      </c>
      <c r="F7" s="75">
        <f t="shared" ref="F7:P7" si="1">5.239%*F21</f>
        <v>0</v>
      </c>
      <c r="G7" s="75">
        <f t="shared" si="1"/>
        <v>0</v>
      </c>
      <c r="H7" s="75">
        <f t="shared" si="1"/>
        <v>2400.3080985000001</v>
      </c>
      <c r="I7" s="75">
        <f t="shared" si="1"/>
        <v>0</v>
      </c>
      <c r="J7" s="75">
        <f t="shared" si="1"/>
        <v>0</v>
      </c>
      <c r="K7" s="75">
        <f t="shared" si="1"/>
        <v>2400.3080985000001</v>
      </c>
      <c r="L7" s="75">
        <f t="shared" si="1"/>
        <v>0</v>
      </c>
      <c r="M7" s="75">
        <f t="shared" si="1"/>
        <v>0</v>
      </c>
      <c r="N7" s="75">
        <f t="shared" si="1"/>
        <v>2400.3080985000001</v>
      </c>
      <c r="O7" s="75">
        <f t="shared" si="1"/>
        <v>0</v>
      </c>
      <c r="P7" s="75">
        <f t="shared" si="1"/>
        <v>0</v>
      </c>
      <c r="Q7" s="82">
        <f t="shared" ref="Q7:Q9" si="2">SUM(E7:P7)</f>
        <v>9601.2323940000006</v>
      </c>
    </row>
    <row r="8" spans="1:20" s="24" customFormat="1" x14ac:dyDescent="0.25">
      <c r="A8" s="54" t="s">
        <v>493</v>
      </c>
      <c r="B8" s="165" t="s">
        <v>499</v>
      </c>
      <c r="C8" s="74">
        <v>1240</v>
      </c>
      <c r="D8" s="83">
        <v>21.492967741935484</v>
      </c>
      <c r="E8" s="75">
        <f>2.969%*E21</f>
        <v>1360.2814934999999</v>
      </c>
      <c r="F8" s="75">
        <f t="shared" ref="F8:P8" si="3">2.969%*F21</f>
        <v>0</v>
      </c>
      <c r="G8" s="75">
        <f t="shared" si="3"/>
        <v>0</v>
      </c>
      <c r="H8" s="75">
        <f t="shared" si="3"/>
        <v>1360.2814934999999</v>
      </c>
      <c r="I8" s="75">
        <f t="shared" si="3"/>
        <v>0</v>
      </c>
      <c r="J8" s="75">
        <f t="shared" si="3"/>
        <v>0</v>
      </c>
      <c r="K8" s="75">
        <f t="shared" si="3"/>
        <v>1360.2814934999999</v>
      </c>
      <c r="L8" s="75">
        <f t="shared" si="3"/>
        <v>0</v>
      </c>
      <c r="M8" s="75">
        <f t="shared" si="3"/>
        <v>0</v>
      </c>
      <c r="N8" s="75">
        <f t="shared" si="3"/>
        <v>1360.2814934999999</v>
      </c>
      <c r="O8" s="75">
        <f t="shared" si="3"/>
        <v>0</v>
      </c>
      <c r="P8" s="75">
        <f t="shared" si="3"/>
        <v>0</v>
      </c>
      <c r="Q8" s="75">
        <f t="shared" si="2"/>
        <v>5441.1259739999996</v>
      </c>
      <c r="R8" s="82"/>
    </row>
    <row r="9" spans="1:20" x14ac:dyDescent="0.25">
      <c r="A9" s="54" t="s">
        <v>494</v>
      </c>
      <c r="B9" s="165" t="s">
        <v>499</v>
      </c>
      <c r="C9" s="80">
        <v>976</v>
      </c>
      <c r="D9" s="81">
        <v>24.041065573770489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82">
        <f t="shared" si="2"/>
        <v>0</v>
      </c>
    </row>
    <row r="10" spans="1:20" s="24" customFormat="1" x14ac:dyDescent="0.25">
      <c r="A10" s="54" t="s">
        <v>495</v>
      </c>
      <c r="B10" s="165" t="s">
        <v>499</v>
      </c>
      <c r="C10" s="74">
        <v>1216</v>
      </c>
      <c r="D10" s="83">
        <v>24.345592105263155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f>SUM(E10:P10)</f>
        <v>0</v>
      </c>
      <c r="R10" s="82"/>
    </row>
    <row r="11" spans="1:20" x14ac:dyDescent="0.25">
      <c r="A11" s="54" t="s">
        <v>496</v>
      </c>
      <c r="B11" s="165" t="s">
        <v>499</v>
      </c>
      <c r="C11" s="74">
        <v>24000</v>
      </c>
      <c r="D11" s="74">
        <v>16</v>
      </c>
      <c r="E11" s="75">
        <v>1117.06</v>
      </c>
      <c r="F11" s="75">
        <f>E11</f>
        <v>1117.06</v>
      </c>
      <c r="G11" s="75">
        <f t="shared" ref="G11:P11" si="4">F11</f>
        <v>1117.06</v>
      </c>
      <c r="H11" s="75">
        <f t="shared" si="4"/>
        <v>1117.06</v>
      </c>
      <c r="I11" s="75">
        <f t="shared" si="4"/>
        <v>1117.06</v>
      </c>
      <c r="J11" s="75">
        <f t="shared" si="4"/>
        <v>1117.06</v>
      </c>
      <c r="K11" s="75">
        <f t="shared" si="4"/>
        <v>1117.06</v>
      </c>
      <c r="L11" s="75">
        <f t="shared" si="4"/>
        <v>1117.06</v>
      </c>
      <c r="M11" s="75">
        <f t="shared" si="4"/>
        <v>1117.06</v>
      </c>
      <c r="N11" s="75">
        <f t="shared" si="4"/>
        <v>1117.06</v>
      </c>
      <c r="O11" s="75">
        <f t="shared" si="4"/>
        <v>1117.06</v>
      </c>
      <c r="P11" s="75">
        <f t="shared" si="4"/>
        <v>1117.06</v>
      </c>
      <c r="Q11" s="75">
        <f t="shared" ref="Q11:Q13" si="5">SUM(E11:P11)</f>
        <v>13404.719999999996</v>
      </c>
      <c r="T11" s="31" t="s">
        <v>360</v>
      </c>
    </row>
    <row r="12" spans="1:20" s="24" customFormat="1" x14ac:dyDescent="0.25">
      <c r="A12" s="54" t="s">
        <v>497</v>
      </c>
      <c r="B12" s="165" t="s">
        <v>499</v>
      </c>
      <c r="C12" s="77">
        <v>2000</v>
      </c>
      <c r="D12" s="74">
        <v>21.995999999999999</v>
      </c>
      <c r="E12" s="75">
        <v>2290.39</v>
      </c>
      <c r="F12" s="75">
        <f>E12</f>
        <v>2290.39</v>
      </c>
      <c r="G12" s="75">
        <f t="shared" ref="G12:P12" si="6">F12</f>
        <v>2290.39</v>
      </c>
      <c r="H12" s="75">
        <f t="shared" si="6"/>
        <v>2290.39</v>
      </c>
      <c r="I12" s="75">
        <f t="shared" si="6"/>
        <v>2290.39</v>
      </c>
      <c r="J12" s="75">
        <f t="shared" si="6"/>
        <v>2290.39</v>
      </c>
      <c r="K12" s="75">
        <f t="shared" si="6"/>
        <v>2290.39</v>
      </c>
      <c r="L12" s="75">
        <f t="shared" si="6"/>
        <v>2290.39</v>
      </c>
      <c r="M12" s="75">
        <f t="shared" si="6"/>
        <v>2290.39</v>
      </c>
      <c r="N12" s="75">
        <f t="shared" si="6"/>
        <v>2290.39</v>
      </c>
      <c r="O12" s="75">
        <f t="shared" si="6"/>
        <v>2290.39</v>
      </c>
      <c r="P12" s="75">
        <f t="shared" si="6"/>
        <v>2290.39</v>
      </c>
      <c r="Q12" s="75">
        <f t="shared" si="5"/>
        <v>27484.679999999997</v>
      </c>
      <c r="R12" s="82"/>
      <c r="T12" s="24" t="s">
        <v>361</v>
      </c>
    </row>
    <row r="13" spans="1:20" x14ac:dyDescent="0.25">
      <c r="A13" s="161" t="s">
        <v>498</v>
      </c>
      <c r="B13" s="165" t="s">
        <v>499</v>
      </c>
      <c r="C13" s="84">
        <v>1980</v>
      </c>
      <c r="D13" s="84">
        <v>20</v>
      </c>
      <c r="E13" s="75">
        <f>4.2%*E21</f>
        <v>1924.2783000000002</v>
      </c>
      <c r="F13" s="75">
        <f t="shared" ref="F13:P13" si="7">4.2%*F21</f>
        <v>0</v>
      </c>
      <c r="G13" s="75">
        <f t="shared" si="7"/>
        <v>0</v>
      </c>
      <c r="H13" s="75">
        <f t="shared" si="7"/>
        <v>1924.2783000000002</v>
      </c>
      <c r="I13" s="75">
        <f t="shared" si="7"/>
        <v>0</v>
      </c>
      <c r="J13" s="75">
        <f t="shared" si="7"/>
        <v>0</v>
      </c>
      <c r="K13" s="75">
        <f t="shared" si="7"/>
        <v>1924.2783000000002</v>
      </c>
      <c r="L13" s="75">
        <f t="shared" si="7"/>
        <v>0</v>
      </c>
      <c r="M13" s="75">
        <f t="shared" si="7"/>
        <v>0</v>
      </c>
      <c r="N13" s="75">
        <f t="shared" si="7"/>
        <v>1924.2783000000002</v>
      </c>
      <c r="O13" s="75">
        <f t="shared" si="7"/>
        <v>0</v>
      </c>
      <c r="P13" s="75">
        <f t="shared" si="7"/>
        <v>0</v>
      </c>
      <c r="Q13" s="85">
        <f t="shared" si="5"/>
        <v>7697.1132000000007</v>
      </c>
      <c r="T13" s="31" t="s">
        <v>362</v>
      </c>
    </row>
    <row r="14" spans="1:20" x14ac:dyDescent="0.25">
      <c r="C14" s="77">
        <f>SUM(C7:C13)</f>
        <v>48608</v>
      </c>
    </row>
    <row r="15" spans="1:20" x14ac:dyDescent="0.25">
      <c r="A15" s="87" t="s">
        <v>206</v>
      </c>
      <c r="B15" s="88"/>
      <c r="C15" s="89"/>
      <c r="D15" s="89"/>
      <c r="E15" s="90">
        <f>SUM(E6:E14)</f>
        <v>33269.500247000004</v>
      </c>
      <c r="F15" s="90">
        <f>SUM(F6:F14)</f>
        <v>3407.45</v>
      </c>
      <c r="G15" s="90">
        <f>SUM(G6:G14)</f>
        <v>3407.45</v>
      </c>
      <c r="H15" s="90">
        <f>SUM(H6:H14)</f>
        <v>33269.500247000004</v>
      </c>
      <c r="I15" s="90">
        <f>SUM(I6:I14)</f>
        <v>3407.45</v>
      </c>
      <c r="J15" s="90">
        <f>SUM(J6:J14)</f>
        <v>3407.45</v>
      </c>
      <c r="K15" s="90">
        <f>SUM(K6:K14)</f>
        <v>33269.500247000004</v>
      </c>
      <c r="L15" s="90">
        <f>SUM(L6:L14)</f>
        <v>3407.45</v>
      </c>
      <c r="M15" s="90">
        <f>SUM(M6:M14)</f>
        <v>3407.45</v>
      </c>
      <c r="N15" s="90">
        <f>SUM(N6:N14)</f>
        <v>33269.500247000004</v>
      </c>
      <c r="O15" s="90">
        <f>SUM(O6:O14)</f>
        <v>3407.45</v>
      </c>
      <c r="P15" s="90">
        <f>SUM(P6:P14)</f>
        <v>3407.45</v>
      </c>
      <c r="Q15" s="90">
        <f>SUM(E15:P15)</f>
        <v>160337.60098800002</v>
      </c>
    </row>
    <row r="21" spans="1:16" x14ac:dyDescent="0.25">
      <c r="A21" s="95" t="s">
        <v>500</v>
      </c>
      <c r="E21" s="99">
        <v>45816.15</v>
      </c>
      <c r="F21" s="99">
        <v>0</v>
      </c>
      <c r="G21" s="99">
        <v>0</v>
      </c>
      <c r="H21" s="99">
        <v>45816.15</v>
      </c>
      <c r="I21" s="99">
        <v>0</v>
      </c>
      <c r="J21" s="99">
        <v>0</v>
      </c>
      <c r="K21" s="99">
        <v>45816.15</v>
      </c>
      <c r="L21" s="99">
        <v>0</v>
      </c>
      <c r="M21" s="99">
        <v>0</v>
      </c>
      <c r="N21" s="99">
        <v>45816.15</v>
      </c>
      <c r="O21" s="99">
        <v>0</v>
      </c>
      <c r="P21" s="99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11" sqref="A11:E11"/>
    </sheetView>
  </sheetViews>
  <sheetFormatPr defaultRowHeight="15" x14ac:dyDescent="0.25"/>
  <cols>
    <col min="1" max="1" width="40.42578125" style="31" customWidth="1"/>
    <col min="2" max="2" width="9.140625" style="32"/>
    <col min="3" max="3" width="9.140625" style="74"/>
    <col min="4" max="16" width="9.140625" style="75"/>
    <col min="17" max="17" width="11.5703125" style="75" bestFit="1" customWidth="1"/>
    <col min="18" max="18" width="9.140625" style="31"/>
    <col min="19" max="19" width="65.28515625" style="31" customWidth="1"/>
    <col min="20" max="16384" width="9.140625" style="31"/>
  </cols>
  <sheetData>
    <row r="1" spans="1:19" x14ac:dyDescent="0.25">
      <c r="A1" s="12" t="s">
        <v>406</v>
      </c>
    </row>
    <row r="2" spans="1:19" x14ac:dyDescent="0.25">
      <c r="A2" s="12" t="s">
        <v>366</v>
      </c>
    </row>
    <row r="4" spans="1:19" s="76" customFormat="1" x14ac:dyDescent="0.25">
      <c r="A4" s="76" t="s">
        <v>357</v>
      </c>
      <c r="B4" s="76" t="s">
        <v>214</v>
      </c>
      <c r="C4" s="77" t="s">
        <v>358</v>
      </c>
      <c r="D4" s="77" t="s">
        <v>404</v>
      </c>
      <c r="E4" s="78" t="s">
        <v>392</v>
      </c>
      <c r="F4" s="78" t="s">
        <v>393</v>
      </c>
      <c r="G4" s="78" t="s">
        <v>394</v>
      </c>
      <c r="H4" s="78" t="s">
        <v>395</v>
      </c>
      <c r="I4" s="78" t="s">
        <v>396</v>
      </c>
      <c r="J4" s="78" t="s">
        <v>397</v>
      </c>
      <c r="K4" s="78" t="s">
        <v>398</v>
      </c>
      <c r="L4" s="78" t="s">
        <v>399</v>
      </c>
      <c r="M4" s="78" t="s">
        <v>400</v>
      </c>
      <c r="N4" s="78" t="s">
        <v>401</v>
      </c>
      <c r="O4" s="78" t="s">
        <v>402</v>
      </c>
      <c r="P4" s="78" t="s">
        <v>403</v>
      </c>
      <c r="Q4" s="79" t="s">
        <v>165</v>
      </c>
      <c r="R4" s="76" t="s">
        <v>0</v>
      </c>
      <c r="S4" s="76" t="s">
        <v>203</v>
      </c>
    </row>
    <row r="6" spans="1:19" s="24" customFormat="1" x14ac:dyDescent="0.25">
      <c r="A6" s="157" t="s">
        <v>491</v>
      </c>
      <c r="B6" s="165" t="s">
        <v>499</v>
      </c>
      <c r="C6" s="74">
        <v>2850</v>
      </c>
      <c r="D6" s="83">
        <v>26.997894736842106</v>
      </c>
      <c r="E6" s="75">
        <v>0</v>
      </c>
      <c r="F6" s="75">
        <v>0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O6" s="75">
        <v>0</v>
      </c>
      <c r="P6" s="75">
        <v>0</v>
      </c>
      <c r="Q6" s="75">
        <f>SUM(E6:P6)</f>
        <v>0</v>
      </c>
    </row>
    <row r="7" spans="1:19" x14ac:dyDescent="0.25">
      <c r="A7" s="54" t="s">
        <v>492</v>
      </c>
      <c r="B7" s="165" t="s">
        <v>499</v>
      </c>
      <c r="C7" s="80">
        <f>12835+1958+2403</f>
        <v>17196</v>
      </c>
      <c r="D7" s="81">
        <v>16.23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f t="shared" ref="Q7:Q9" si="0">SUM(E7:P7)</f>
        <v>0</v>
      </c>
    </row>
    <row r="8" spans="1:19" s="24" customFormat="1" x14ac:dyDescent="0.25">
      <c r="A8" s="54" t="s">
        <v>493</v>
      </c>
      <c r="B8" s="165" t="s">
        <v>499</v>
      </c>
      <c r="C8" s="74">
        <v>1240</v>
      </c>
      <c r="D8" s="83">
        <v>21.492967741935484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f t="shared" si="0"/>
        <v>0</v>
      </c>
    </row>
    <row r="9" spans="1:19" x14ac:dyDescent="0.25">
      <c r="A9" s="54" t="s">
        <v>494</v>
      </c>
      <c r="B9" s="165" t="s">
        <v>499</v>
      </c>
      <c r="C9" s="80">
        <v>976</v>
      </c>
      <c r="D9" s="81">
        <v>24.041065573770489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f t="shared" si="0"/>
        <v>0</v>
      </c>
    </row>
    <row r="10" spans="1:19" s="24" customFormat="1" x14ac:dyDescent="0.25">
      <c r="A10" s="54" t="s">
        <v>495</v>
      </c>
      <c r="B10" s="165" t="s">
        <v>499</v>
      </c>
      <c r="C10" s="74">
        <v>1216</v>
      </c>
      <c r="D10" s="83">
        <v>24.345592105263155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f>SUM(E10:P10)</f>
        <v>0</v>
      </c>
    </row>
    <row r="11" spans="1:19" x14ac:dyDescent="0.25">
      <c r="A11" s="54" t="s">
        <v>496</v>
      </c>
      <c r="B11" s="165" t="s">
        <v>499</v>
      </c>
      <c r="C11" s="74">
        <v>24000</v>
      </c>
      <c r="D11" s="74">
        <v>16</v>
      </c>
      <c r="E11" s="75">
        <v>207.41</v>
      </c>
      <c r="F11" s="75">
        <v>207.41</v>
      </c>
      <c r="G11" s="75">
        <v>207.41</v>
      </c>
      <c r="H11" s="75">
        <v>207.41</v>
      </c>
      <c r="I11" s="75">
        <v>207.41</v>
      </c>
      <c r="J11" s="75">
        <v>207.41</v>
      </c>
      <c r="K11" s="75">
        <v>207.41</v>
      </c>
      <c r="L11" s="75">
        <v>207.41</v>
      </c>
      <c r="M11" s="75">
        <v>207.41</v>
      </c>
      <c r="N11" s="75">
        <v>207.41</v>
      </c>
      <c r="O11" s="75">
        <v>207.41</v>
      </c>
      <c r="P11" s="75">
        <v>207.41</v>
      </c>
      <c r="Q11" s="75">
        <f t="shared" ref="Q11:Q13" si="1">SUM(E11:P11)</f>
        <v>2488.92</v>
      </c>
    </row>
    <row r="12" spans="1:19" s="24" customFormat="1" x14ac:dyDescent="0.25">
      <c r="A12" s="54" t="s">
        <v>497</v>
      </c>
      <c r="B12" s="165" t="s">
        <v>499</v>
      </c>
      <c r="C12" s="77">
        <v>2000</v>
      </c>
      <c r="D12" s="74">
        <v>21.995999999999999</v>
      </c>
      <c r="E12" s="75">
        <v>102.83</v>
      </c>
      <c r="F12" s="75">
        <f>E12</f>
        <v>102.83</v>
      </c>
      <c r="G12" s="75">
        <f t="shared" ref="G12:P12" si="2">F12</f>
        <v>102.83</v>
      </c>
      <c r="H12" s="75">
        <f t="shared" si="2"/>
        <v>102.83</v>
      </c>
      <c r="I12" s="75">
        <f t="shared" si="2"/>
        <v>102.83</v>
      </c>
      <c r="J12" s="75">
        <f t="shared" si="2"/>
        <v>102.83</v>
      </c>
      <c r="K12" s="75">
        <f t="shared" si="2"/>
        <v>102.83</v>
      </c>
      <c r="L12" s="75">
        <f t="shared" si="2"/>
        <v>102.83</v>
      </c>
      <c r="M12" s="75">
        <f t="shared" si="2"/>
        <v>102.83</v>
      </c>
      <c r="N12" s="75">
        <f t="shared" si="2"/>
        <v>102.83</v>
      </c>
      <c r="O12" s="75">
        <f t="shared" si="2"/>
        <v>102.83</v>
      </c>
      <c r="P12" s="75">
        <f t="shared" si="2"/>
        <v>102.83</v>
      </c>
      <c r="Q12" s="75">
        <f t="shared" si="1"/>
        <v>1233.96</v>
      </c>
    </row>
    <row r="13" spans="1:19" x14ac:dyDescent="0.25">
      <c r="A13" s="161" t="s">
        <v>498</v>
      </c>
      <c r="B13" s="165" t="s">
        <v>499</v>
      </c>
      <c r="C13" s="84">
        <v>1980</v>
      </c>
      <c r="D13" s="84">
        <v>20</v>
      </c>
      <c r="E13" s="85">
        <v>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85">
        <v>0</v>
      </c>
      <c r="O13" s="85">
        <v>0</v>
      </c>
      <c r="P13" s="85">
        <v>0</v>
      </c>
      <c r="Q13" s="85">
        <f t="shared" si="1"/>
        <v>0</v>
      </c>
    </row>
    <row r="14" spans="1:19" x14ac:dyDescent="0.25">
      <c r="A14" s="95"/>
      <c r="D14" s="74"/>
    </row>
    <row r="15" spans="1:19" x14ac:dyDescent="0.25">
      <c r="A15" s="95"/>
      <c r="D15" s="74"/>
    </row>
    <row r="16" spans="1:19" x14ac:dyDescent="0.25">
      <c r="C16" s="77">
        <f>SUM(C7:C13)</f>
        <v>48608</v>
      </c>
      <c r="D16" s="74"/>
    </row>
    <row r="17" spans="1:17" x14ac:dyDescent="0.25">
      <c r="A17" s="87" t="s">
        <v>206</v>
      </c>
      <c r="B17" s="88"/>
      <c r="C17" s="89"/>
      <c r="D17" s="89"/>
      <c r="E17" s="90">
        <f t="shared" ref="E17:P17" si="3">SUM(E6:E16)</f>
        <v>310.24</v>
      </c>
      <c r="F17" s="90">
        <f t="shared" si="3"/>
        <v>310.24</v>
      </c>
      <c r="G17" s="90">
        <f t="shared" si="3"/>
        <v>310.24</v>
      </c>
      <c r="H17" s="90">
        <f t="shared" si="3"/>
        <v>310.24</v>
      </c>
      <c r="I17" s="90">
        <f t="shared" si="3"/>
        <v>310.24</v>
      </c>
      <c r="J17" s="90">
        <f t="shared" si="3"/>
        <v>310.24</v>
      </c>
      <c r="K17" s="90">
        <f t="shared" si="3"/>
        <v>310.24</v>
      </c>
      <c r="L17" s="90">
        <f t="shared" si="3"/>
        <v>310.24</v>
      </c>
      <c r="M17" s="90">
        <f t="shared" si="3"/>
        <v>310.24</v>
      </c>
      <c r="N17" s="90">
        <f t="shared" si="3"/>
        <v>310.24</v>
      </c>
      <c r="O17" s="90">
        <f t="shared" si="3"/>
        <v>310.24</v>
      </c>
      <c r="P17" s="90">
        <f t="shared" si="3"/>
        <v>310.24</v>
      </c>
      <c r="Q17" s="90">
        <f>SUM(E17:P17)</f>
        <v>3722.8799999999992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zoomScaleNormal="100" workbookViewId="0">
      <selection activeCell="D4" sqref="D4"/>
    </sheetView>
  </sheetViews>
  <sheetFormatPr defaultRowHeight="15" x14ac:dyDescent="0.25"/>
  <cols>
    <col min="1" max="1" width="33" customWidth="1"/>
    <col min="2" max="2" width="52.85546875" customWidth="1"/>
    <col min="3" max="3" width="16.28515625" customWidth="1"/>
    <col min="4" max="4" width="12.140625" customWidth="1"/>
    <col min="5" max="5" width="15.5703125" customWidth="1"/>
    <col min="6" max="6" width="15.85546875" customWidth="1"/>
    <col min="7" max="7" width="32" customWidth="1"/>
    <col min="8" max="8" width="18.28515625" customWidth="1"/>
  </cols>
  <sheetData>
    <row r="1" spans="1:8" s="117" customFormat="1" x14ac:dyDescent="0.25">
      <c r="A1" s="116" t="s">
        <v>445</v>
      </c>
      <c r="B1" s="116" t="s">
        <v>446</v>
      </c>
      <c r="C1" s="116" t="s">
        <v>447</v>
      </c>
      <c r="D1" s="116" t="s">
        <v>448</v>
      </c>
      <c r="E1" s="116" t="s">
        <v>449</v>
      </c>
      <c r="F1" s="116" t="s">
        <v>450</v>
      </c>
      <c r="G1" s="116" t="s">
        <v>451</v>
      </c>
      <c r="H1" s="116" t="s">
        <v>452</v>
      </c>
    </row>
    <row r="2" spans="1:8" x14ac:dyDescent="0.25">
      <c r="A2" s="118"/>
      <c r="B2" s="119"/>
      <c r="C2" s="119"/>
      <c r="D2" s="119"/>
      <c r="E2" s="120"/>
      <c r="F2" s="120"/>
      <c r="G2" s="121"/>
      <c r="H2" s="122"/>
    </row>
    <row r="3" spans="1:8" ht="26.25" x14ac:dyDescent="0.25">
      <c r="A3" s="115" t="s">
        <v>453</v>
      </c>
      <c r="B3" s="123" t="s">
        <v>454</v>
      </c>
      <c r="C3" s="124" t="s">
        <v>455</v>
      </c>
      <c r="D3" s="124">
        <v>2018</v>
      </c>
      <c r="E3" s="125">
        <v>48000</v>
      </c>
      <c r="F3" s="126" t="s">
        <v>456</v>
      </c>
      <c r="G3" s="127" t="s">
        <v>457</v>
      </c>
      <c r="H3" s="128">
        <v>43191</v>
      </c>
    </row>
    <row r="4" spans="1:8" x14ac:dyDescent="0.25">
      <c r="A4" s="115" t="s">
        <v>444</v>
      </c>
      <c r="B4" s="123" t="s">
        <v>458</v>
      </c>
      <c r="C4" s="124" t="s">
        <v>455</v>
      </c>
      <c r="D4" s="124">
        <v>2017</v>
      </c>
      <c r="E4" s="125">
        <v>75000</v>
      </c>
      <c r="F4" s="126" t="s">
        <v>456</v>
      </c>
      <c r="G4" s="127" t="s">
        <v>459</v>
      </c>
      <c r="H4" s="128">
        <v>42507</v>
      </c>
    </row>
    <row r="5" spans="1:8" x14ac:dyDescent="0.25">
      <c r="A5" s="115" t="s">
        <v>460</v>
      </c>
      <c r="B5" s="123" t="s">
        <v>461</v>
      </c>
      <c r="C5" s="124" t="s">
        <v>462</v>
      </c>
      <c r="D5" s="124">
        <v>2018</v>
      </c>
      <c r="E5" s="125">
        <v>50000</v>
      </c>
      <c r="F5" s="126" t="s">
        <v>456</v>
      </c>
      <c r="G5" s="127" t="s">
        <v>463</v>
      </c>
      <c r="H5" s="128">
        <v>42508</v>
      </c>
    </row>
    <row r="6" spans="1:8" x14ac:dyDescent="0.25">
      <c r="A6" s="115"/>
      <c r="B6" s="123"/>
      <c r="C6" s="124"/>
      <c r="D6" s="124"/>
      <c r="E6" s="125"/>
      <c r="F6" s="126"/>
      <c r="G6" s="127"/>
      <c r="H6" s="128"/>
    </row>
    <row r="7" spans="1:8" x14ac:dyDescent="0.25">
      <c r="A7" s="115"/>
      <c r="B7" s="123"/>
      <c r="C7" s="124"/>
      <c r="D7" s="124"/>
      <c r="E7" s="125"/>
      <c r="F7" s="126"/>
      <c r="G7" s="127"/>
      <c r="H7" s="128"/>
    </row>
    <row r="8" spans="1:8" x14ac:dyDescent="0.25">
      <c r="A8" s="115"/>
      <c r="B8" s="123"/>
      <c r="C8" s="124"/>
      <c r="D8" s="124"/>
      <c r="E8" s="125"/>
      <c r="F8" s="126"/>
      <c r="G8" s="127"/>
      <c r="H8" s="128"/>
    </row>
    <row r="9" spans="1:8" ht="54" customHeight="1" x14ac:dyDescent="0.25">
      <c r="A9" s="115"/>
      <c r="B9" s="123"/>
      <c r="C9" s="124"/>
      <c r="D9" s="124"/>
      <c r="E9" s="125"/>
      <c r="F9" s="126"/>
      <c r="G9" s="127"/>
      <c r="H9" s="128"/>
    </row>
    <row r="10" spans="1:8" x14ac:dyDescent="0.25">
      <c r="A10" s="115"/>
      <c r="B10" s="123"/>
      <c r="C10" s="124"/>
      <c r="D10" s="124"/>
      <c r="E10" s="125"/>
      <c r="F10" s="126"/>
      <c r="G10" s="127"/>
      <c r="H10" s="128"/>
    </row>
    <row r="11" spans="1:8" x14ac:dyDescent="0.25">
      <c r="A11" s="115"/>
      <c r="B11" s="123"/>
      <c r="C11" s="124"/>
      <c r="D11" s="124"/>
      <c r="E11" s="125"/>
      <c r="F11" s="126"/>
      <c r="G11" s="127"/>
      <c r="H11" s="128"/>
    </row>
    <row r="12" spans="1:8" x14ac:dyDescent="0.25">
      <c r="A12" s="115"/>
      <c r="B12" s="123"/>
      <c r="C12" s="124"/>
      <c r="D12" s="124"/>
      <c r="E12" s="125"/>
      <c r="F12" s="126"/>
      <c r="G12" s="127"/>
      <c r="H12" s="128"/>
    </row>
    <row r="13" spans="1:8" x14ac:dyDescent="0.25">
      <c r="A13" s="115"/>
      <c r="B13" s="123"/>
      <c r="C13" s="124"/>
      <c r="D13" s="124"/>
      <c r="E13" s="125"/>
      <c r="F13" s="126"/>
      <c r="G13" s="127"/>
      <c r="H13" s="128"/>
    </row>
    <row r="14" spans="1:8" x14ac:dyDescent="0.25">
      <c r="A14" s="115"/>
      <c r="B14" s="123"/>
      <c r="C14" s="124"/>
      <c r="D14" s="124"/>
      <c r="E14" s="125"/>
      <c r="F14" s="126"/>
      <c r="G14" s="127"/>
      <c r="H14" s="128"/>
    </row>
    <row r="15" spans="1:8" x14ac:dyDescent="0.25">
      <c r="A15" s="115"/>
      <c r="B15" s="123"/>
      <c r="C15" s="124"/>
      <c r="D15" s="124"/>
      <c r="E15" s="125"/>
      <c r="F15" s="126"/>
      <c r="G15" s="127"/>
      <c r="H15" s="128"/>
    </row>
    <row r="16" spans="1:8" x14ac:dyDescent="0.25">
      <c r="A16" s="115"/>
      <c r="B16" s="123"/>
      <c r="C16" s="124"/>
      <c r="D16" s="124"/>
      <c r="E16" s="125"/>
      <c r="F16" s="126"/>
      <c r="G16" s="127"/>
      <c r="H16" s="128"/>
    </row>
    <row r="17" spans="1:8" x14ac:dyDescent="0.25">
      <c r="A17" s="115"/>
      <c r="B17" s="123"/>
      <c r="C17" s="124"/>
      <c r="D17" s="124"/>
      <c r="E17" s="125"/>
      <c r="F17" s="126"/>
      <c r="G17" s="127"/>
      <c r="H17" s="128"/>
    </row>
    <row r="18" spans="1:8" x14ac:dyDescent="0.25">
      <c r="A18" s="115"/>
      <c r="B18" s="123"/>
      <c r="C18" s="124"/>
      <c r="D18" s="124"/>
      <c r="E18" s="125"/>
      <c r="F18" s="126"/>
      <c r="G18" s="127"/>
      <c r="H18" s="128"/>
    </row>
    <row r="19" spans="1:8" x14ac:dyDescent="0.25">
      <c r="A19" s="115"/>
      <c r="B19" s="123"/>
      <c r="C19" s="124"/>
      <c r="D19" s="124"/>
      <c r="E19" s="125"/>
      <c r="F19" s="126"/>
      <c r="G19" s="127"/>
      <c r="H19" s="128"/>
    </row>
    <row r="20" spans="1:8" x14ac:dyDescent="0.25">
      <c r="A20" s="129"/>
      <c r="B20" s="129"/>
      <c r="C20" s="129"/>
      <c r="D20" s="129"/>
      <c r="E20" s="129"/>
      <c r="F20" s="129"/>
      <c r="G20" s="129"/>
      <c r="H20" s="129"/>
    </row>
  </sheetData>
  <pageMargins left="0.7" right="0.7" top="1" bottom="0.75" header="0.3" footer="0.3"/>
  <pageSetup paperSize="5" scale="82" orientation="landscape" r:id="rId1"/>
  <headerFooter>
    <oddHeader>&amp;CWINDSOR CROSSING LONG TERM CAPITAL IMPROVEMENT AND MAINTENANCE PLAN (2016-2019)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D18" sqref="D18"/>
    </sheetView>
  </sheetViews>
  <sheetFormatPr defaultRowHeight="15" x14ac:dyDescent="0.25"/>
  <cols>
    <col min="1" max="1" width="9.7109375" bestFit="1" customWidth="1"/>
    <col min="2" max="2" width="35.85546875" bestFit="1" customWidth="1"/>
    <col min="3" max="3" width="14.42578125" bestFit="1" customWidth="1"/>
    <col min="4" max="4" width="12.5703125" bestFit="1" customWidth="1"/>
    <col min="5" max="5" width="11.5703125" bestFit="1" customWidth="1"/>
    <col min="6" max="6" width="12" bestFit="1" customWidth="1"/>
  </cols>
  <sheetData>
    <row r="1" spans="1:10" ht="15.75" customHeight="1" x14ac:dyDescent="0.25">
      <c r="A1" s="181" t="s">
        <v>376</v>
      </c>
      <c r="B1" s="181"/>
      <c r="C1" s="181"/>
      <c r="D1" s="181"/>
      <c r="E1" s="181"/>
      <c r="F1" s="181"/>
    </row>
    <row r="2" spans="1:10" ht="15.75" customHeight="1" x14ac:dyDescent="0.25">
      <c r="A2" s="181"/>
      <c r="B2" s="181"/>
      <c r="C2" s="181"/>
      <c r="D2" s="181"/>
      <c r="E2" s="181"/>
      <c r="F2" s="181"/>
    </row>
    <row r="3" spans="1:10" x14ac:dyDescent="0.25">
      <c r="A3" t="s">
        <v>474</v>
      </c>
      <c r="B3" t="s">
        <v>472</v>
      </c>
      <c r="C3" t="s">
        <v>527</v>
      </c>
      <c r="D3" t="s">
        <v>473</v>
      </c>
      <c r="E3" t="s">
        <v>471</v>
      </c>
      <c r="F3" t="s">
        <v>470</v>
      </c>
    </row>
    <row r="4" spans="1:10" x14ac:dyDescent="0.25">
      <c r="A4" s="135" t="s">
        <v>503</v>
      </c>
      <c r="B4" s="134" t="s">
        <v>504</v>
      </c>
      <c r="C4" s="169">
        <v>100000</v>
      </c>
      <c r="D4" s="167">
        <v>0.10588</v>
      </c>
      <c r="E4" s="110">
        <f>$E$18*D4</f>
        <v>-25411.200000000001</v>
      </c>
      <c r="F4" s="110">
        <f>D4*$F$18</f>
        <v>-2117.6</v>
      </c>
      <c r="I4" s="135"/>
      <c r="J4" s="5"/>
    </row>
    <row r="5" spans="1:10" x14ac:dyDescent="0.25">
      <c r="A5" s="135" t="s">
        <v>483</v>
      </c>
      <c r="B5" s="132" t="s">
        <v>484</v>
      </c>
      <c r="C5" s="169">
        <v>100000</v>
      </c>
      <c r="D5" s="168">
        <v>7.059E-2</v>
      </c>
      <c r="E5" s="110">
        <f>$E$18*D5</f>
        <v>-16941.599999999999</v>
      </c>
      <c r="F5" s="110">
        <f>D5*$F$18</f>
        <v>-1411.8</v>
      </c>
      <c r="I5" s="135"/>
      <c r="J5" s="5"/>
    </row>
    <row r="6" spans="1:10" x14ac:dyDescent="0.25">
      <c r="A6" s="135" t="s">
        <v>505</v>
      </c>
      <c r="B6" s="134" t="s">
        <v>506</v>
      </c>
      <c r="C6" s="169">
        <v>100000</v>
      </c>
      <c r="D6" s="168">
        <v>7.059E-2</v>
      </c>
      <c r="E6" s="110">
        <f>$E$18*D6</f>
        <v>-16941.599999999999</v>
      </c>
      <c r="F6" s="110">
        <f>D6*$F$18</f>
        <v>-1411.8</v>
      </c>
      <c r="I6" s="135"/>
      <c r="J6" s="5"/>
    </row>
    <row r="7" spans="1:10" x14ac:dyDescent="0.25">
      <c r="A7" s="135" t="s">
        <v>507</v>
      </c>
      <c r="B7" s="132" t="s">
        <v>508</v>
      </c>
      <c r="C7" s="169">
        <v>100000</v>
      </c>
      <c r="D7" s="168">
        <v>7.059E-2</v>
      </c>
      <c r="E7" s="110">
        <f>$E$18*D7</f>
        <v>-16941.599999999999</v>
      </c>
      <c r="F7" s="110">
        <f>D7*$F$18</f>
        <v>-1411.8</v>
      </c>
      <c r="I7" s="135"/>
      <c r="J7" s="5"/>
    </row>
    <row r="8" spans="1:10" x14ac:dyDescent="0.25">
      <c r="A8" s="135" t="s">
        <v>509</v>
      </c>
      <c r="B8" s="134" t="s">
        <v>510</v>
      </c>
      <c r="C8" s="169">
        <v>100000</v>
      </c>
      <c r="D8" s="168">
        <v>7.059E-2</v>
      </c>
      <c r="E8" s="110">
        <f>$E$18*D8</f>
        <v>-16941.599999999999</v>
      </c>
      <c r="F8" s="110">
        <f>D8*$F$18</f>
        <v>-1411.8</v>
      </c>
      <c r="I8" s="135"/>
      <c r="J8" s="5"/>
    </row>
    <row r="9" spans="1:10" x14ac:dyDescent="0.25">
      <c r="A9" s="135" t="s">
        <v>157</v>
      </c>
      <c r="B9" s="132" t="s">
        <v>485</v>
      </c>
      <c r="C9" s="169">
        <v>250000</v>
      </c>
      <c r="D9" s="168">
        <v>0.27646999999999999</v>
      </c>
      <c r="E9" s="110">
        <f>$E$18*D9</f>
        <v>-66352.800000000003</v>
      </c>
      <c r="F9" s="110">
        <f>D9*$F$18</f>
        <v>-5529.4</v>
      </c>
      <c r="I9" s="135"/>
      <c r="J9" s="5"/>
    </row>
    <row r="10" spans="1:10" x14ac:dyDescent="0.25">
      <c r="A10" s="135" t="s">
        <v>511</v>
      </c>
      <c r="B10" s="134" t="s">
        <v>512</v>
      </c>
      <c r="C10" s="169">
        <v>25000</v>
      </c>
      <c r="D10" s="167">
        <v>3.5299999999999998E-2</v>
      </c>
      <c r="E10" s="110">
        <f>$E$18*D10</f>
        <v>-8472</v>
      </c>
      <c r="F10" s="110">
        <f>D10*$F$18</f>
        <v>-706</v>
      </c>
      <c r="I10" s="135"/>
      <c r="J10" s="5"/>
    </row>
    <row r="11" spans="1:10" x14ac:dyDescent="0.25">
      <c r="A11" s="135" t="s">
        <v>513</v>
      </c>
      <c r="B11" s="132" t="s">
        <v>514</v>
      </c>
      <c r="C11" s="169">
        <v>25000</v>
      </c>
      <c r="D11" s="167">
        <v>3.5299999999999998E-2</v>
      </c>
      <c r="E11" s="110">
        <f>$E$18*D11</f>
        <v>-8472</v>
      </c>
      <c r="F11" s="110">
        <f>D11*$F$18</f>
        <v>-706</v>
      </c>
      <c r="I11" s="135"/>
      <c r="J11" s="5"/>
    </row>
    <row r="12" spans="1:10" x14ac:dyDescent="0.25">
      <c r="A12" s="135" t="s">
        <v>515</v>
      </c>
      <c r="B12" s="134" t="s">
        <v>516</v>
      </c>
      <c r="C12" s="169">
        <v>50000</v>
      </c>
      <c r="D12" s="167">
        <v>3.5290000000000002E-2</v>
      </c>
      <c r="E12" s="110">
        <f>$E$18*D12</f>
        <v>-8469.6</v>
      </c>
      <c r="F12" s="110">
        <f>D12*$F$18</f>
        <v>-705.80000000000007</v>
      </c>
      <c r="I12" s="135"/>
      <c r="J12" s="5"/>
    </row>
    <row r="13" spans="1:10" x14ac:dyDescent="0.25">
      <c r="A13" s="166" t="s">
        <v>517</v>
      </c>
      <c r="B13" s="134" t="s">
        <v>518</v>
      </c>
      <c r="C13" s="169">
        <v>25000</v>
      </c>
      <c r="D13" s="168">
        <v>1.7649999999999999E-2</v>
      </c>
      <c r="E13" s="110">
        <f>$E$18*D13</f>
        <v>-4236</v>
      </c>
      <c r="F13" s="110">
        <f>D13*$F$18</f>
        <v>-353</v>
      </c>
      <c r="I13" s="166"/>
      <c r="J13" s="5"/>
    </row>
    <row r="14" spans="1:10" x14ac:dyDescent="0.25">
      <c r="A14" s="166" t="s">
        <v>519</v>
      </c>
      <c r="B14" s="134" t="s">
        <v>520</v>
      </c>
      <c r="C14" s="169">
        <v>50000</v>
      </c>
      <c r="D14" s="167">
        <v>3.5290000000000002E-2</v>
      </c>
      <c r="E14" s="110">
        <f>$E$18*D14</f>
        <v>-8469.6</v>
      </c>
      <c r="F14" s="110">
        <f>D14*$F$18</f>
        <v>-705.80000000000007</v>
      </c>
      <c r="I14" s="166"/>
      <c r="J14" s="5"/>
    </row>
    <row r="15" spans="1:10" x14ac:dyDescent="0.25">
      <c r="A15" s="166" t="s">
        <v>521</v>
      </c>
      <c r="B15" s="134" t="s">
        <v>522</v>
      </c>
      <c r="C15" s="169">
        <v>50000</v>
      </c>
      <c r="D15" s="167">
        <v>3.5290000000000002E-2</v>
      </c>
      <c r="E15" s="110">
        <f t="shared" ref="E15:E17" si="0">$E$18*D15</f>
        <v>-8469.6</v>
      </c>
      <c r="F15" s="110">
        <f t="shared" ref="F15:F17" si="1">D15*$F$18</f>
        <v>-705.80000000000007</v>
      </c>
      <c r="I15" s="166"/>
      <c r="J15" s="5"/>
    </row>
    <row r="16" spans="1:10" x14ac:dyDescent="0.25">
      <c r="A16" s="166" t="s">
        <v>523</v>
      </c>
      <c r="B16" s="134" t="s">
        <v>524</v>
      </c>
      <c r="C16" s="169">
        <v>50000</v>
      </c>
      <c r="D16" s="168">
        <v>7.0580000000000004E-2</v>
      </c>
      <c r="E16" s="110">
        <f t="shared" si="0"/>
        <v>-16939.2</v>
      </c>
      <c r="F16" s="110">
        <f t="shared" si="1"/>
        <v>-1411.6000000000001</v>
      </c>
      <c r="I16" s="166"/>
      <c r="J16" s="5"/>
    </row>
    <row r="17" spans="1:10" x14ac:dyDescent="0.25">
      <c r="A17" s="166" t="s">
        <v>525</v>
      </c>
      <c r="B17" s="134" t="s">
        <v>526</v>
      </c>
      <c r="C17" s="169">
        <v>100000</v>
      </c>
      <c r="D17" s="168">
        <v>7.059E-2</v>
      </c>
      <c r="E17" s="110">
        <f t="shared" si="0"/>
        <v>-16941.599999999999</v>
      </c>
      <c r="F17" s="110">
        <f t="shared" si="1"/>
        <v>-1411.8</v>
      </c>
      <c r="I17" s="166"/>
      <c r="J17" s="5"/>
    </row>
    <row r="18" spans="1:10" x14ac:dyDescent="0.25">
      <c r="B18" s="131" t="s">
        <v>469</v>
      </c>
      <c r="C18" s="170">
        <f>SUM(C4:C17)</f>
        <v>1125000</v>
      </c>
      <c r="D18" s="183">
        <f>SUM(D4:D17)</f>
        <v>1</v>
      </c>
      <c r="E18" s="130">
        <f>F18*12</f>
        <v>-240000</v>
      </c>
      <c r="F18" s="130">
        <v>-20000</v>
      </c>
      <c r="G18" t="s">
        <v>486</v>
      </c>
    </row>
    <row r="21" spans="1:10" x14ac:dyDescent="0.25">
      <c r="B21" t="s">
        <v>468</v>
      </c>
      <c r="C21" s="110"/>
    </row>
    <row r="33" spans="3:3" x14ac:dyDescent="0.25">
      <c r="C33" s="110"/>
    </row>
    <row r="34" spans="3:3" x14ac:dyDescent="0.25">
      <c r="C34" s="110"/>
    </row>
    <row r="35" spans="3:3" x14ac:dyDescent="0.25">
      <c r="C35" s="110"/>
    </row>
    <row r="36" spans="3:3" x14ac:dyDescent="0.25">
      <c r="C36" s="110"/>
    </row>
  </sheetData>
  <mergeCells count="1">
    <mergeCell ref="A1:F2"/>
  </mergeCells>
  <pageMargins left="0.7" right="0.7" top="0.75" bottom="0.75" header="0.3" footer="0.3"/>
  <pageSetup scale="94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cf</vt:lpstr>
      <vt:lpstr>Op Budget 2016</vt:lpstr>
      <vt:lpstr>2017 Projected</vt:lpstr>
      <vt:lpstr>Min Rent 2017</vt:lpstr>
      <vt:lpstr>CAM est 2017</vt:lpstr>
      <vt:lpstr>RETaxes 2017</vt:lpstr>
      <vt:lpstr>Ins 2016</vt:lpstr>
      <vt:lpstr>CapEx 2016</vt:lpstr>
      <vt:lpstr>Distributions</vt:lpstr>
      <vt:lpstr>Loan</vt:lpstr>
      <vt:lpstr>Broker's Comm</vt:lpstr>
      <vt:lpstr>'2017 Projected'!Print_Area</vt:lpstr>
      <vt:lpstr>Distributions!Print_Area</vt:lpstr>
      <vt:lpstr>'2017 Projected'!Print_Titles</vt:lpstr>
      <vt:lpstr>cf!Print_Titles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Wong</dc:creator>
  <cp:lastModifiedBy>Simon Wong</cp:lastModifiedBy>
  <cp:lastPrinted>2016-10-25T17:51:07Z</cp:lastPrinted>
  <dcterms:created xsi:type="dcterms:W3CDTF">2016-04-01T21:07:40Z</dcterms:created>
  <dcterms:modified xsi:type="dcterms:W3CDTF">2016-10-25T18:11:53Z</dcterms:modified>
</cp:coreProperties>
</file>