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People's Loan" sheetId="13" r:id="rId10"/>
    <sheet name="Assumptions" sheetId="7" r:id="rId11"/>
    <sheet name="Broker's Comm" sheetId="8" r:id="rId12"/>
  </sheets>
  <externalReferences>
    <externalReference r:id="rId13"/>
  </externalReferences>
  <definedNames>
    <definedName name="_xlnm.Print_Area" localSheetId="2">'2017 Projected'!$A$1:$S$229</definedName>
    <definedName name="_xlnm.Print_Area" localSheetId="8">Distributions!$A$1:$F$25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R143" i="5" l="1"/>
  <c r="R144" i="5"/>
  <c r="R145" i="5"/>
  <c r="R146" i="5"/>
  <c r="R147" i="5"/>
  <c r="R149" i="5"/>
  <c r="R150" i="5"/>
  <c r="R151" i="5"/>
  <c r="R152" i="5"/>
  <c r="R153" i="5"/>
  <c r="R154" i="5"/>
  <c r="R156" i="5"/>
  <c r="R158" i="5"/>
  <c r="R159" i="5"/>
  <c r="R161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4" i="5"/>
  <c r="R185" i="5"/>
  <c r="R26" i="5" l="1"/>
  <c r="R27" i="5"/>
  <c r="R29" i="5"/>
  <c r="R30" i="5"/>
  <c r="R31" i="5"/>
  <c r="R43" i="5"/>
  <c r="R48" i="5"/>
  <c r="R60" i="5"/>
  <c r="R65" i="5"/>
  <c r="R66" i="5"/>
  <c r="R67" i="5"/>
  <c r="R68" i="5"/>
  <c r="R70" i="5"/>
  <c r="R71" i="5"/>
  <c r="R72" i="5"/>
  <c r="R73" i="5"/>
  <c r="R74" i="5"/>
  <c r="R76" i="5"/>
  <c r="R78" i="5"/>
  <c r="R80" i="5"/>
  <c r="R81" i="5"/>
  <c r="R82" i="5"/>
  <c r="R85" i="5"/>
  <c r="R99" i="5"/>
  <c r="R100" i="5"/>
  <c r="R111" i="5"/>
  <c r="R112" i="5"/>
  <c r="R117" i="5"/>
  <c r="R118" i="5"/>
  <c r="R120" i="5"/>
  <c r="R121" i="5"/>
  <c r="R123" i="5"/>
  <c r="R126" i="5"/>
  <c r="R127" i="5"/>
  <c r="R129" i="5"/>
  <c r="R130" i="5"/>
  <c r="R133" i="5"/>
  <c r="R134" i="5"/>
  <c r="R136" i="5"/>
  <c r="R137" i="5"/>
  <c r="R139" i="5"/>
  <c r="R140" i="5"/>
  <c r="M145" i="5" l="1"/>
  <c r="J145" i="5"/>
  <c r="G145" i="5"/>
  <c r="D145" i="5"/>
  <c r="P91" i="5" l="1"/>
  <c r="Q91" i="5" s="1"/>
  <c r="R91" i="5" s="1"/>
  <c r="D34" i="5" l="1"/>
  <c r="E126" i="5" l="1"/>
  <c r="F126" i="5"/>
  <c r="G126" i="5"/>
  <c r="H126" i="5"/>
  <c r="I126" i="5"/>
  <c r="J126" i="5"/>
  <c r="K126" i="5"/>
  <c r="L126" i="5"/>
  <c r="M126" i="5"/>
  <c r="N126" i="5"/>
  <c r="O126" i="5"/>
  <c r="D126" i="5"/>
  <c r="P124" i="5"/>
  <c r="K123" i="5"/>
  <c r="J123" i="5"/>
  <c r="G123" i="5"/>
  <c r="F123" i="5"/>
  <c r="P122" i="5"/>
  <c r="F94" i="5" l="1"/>
  <c r="P126" i="5"/>
  <c r="P123" i="5"/>
  <c r="P218" i="5" l="1"/>
  <c r="P105" i="5" l="1"/>
  <c r="Y97" i="5" l="1"/>
  <c r="Q85" i="5" l="1"/>
  <c r="E85" i="5"/>
  <c r="F85" i="5"/>
  <c r="G85" i="5"/>
  <c r="H85" i="5"/>
  <c r="I85" i="5"/>
  <c r="J85" i="5"/>
  <c r="K85" i="5"/>
  <c r="L85" i="5"/>
  <c r="M85" i="5"/>
  <c r="N85" i="5"/>
  <c r="O85" i="5"/>
  <c r="D85" i="5"/>
  <c r="P219" i="5"/>
  <c r="H152" i="5"/>
  <c r="I152" i="5"/>
  <c r="E116" i="5"/>
  <c r="F116" i="5"/>
  <c r="G116" i="5"/>
  <c r="H116" i="5"/>
  <c r="I116" i="5"/>
  <c r="J116" i="5"/>
  <c r="K116" i="5"/>
  <c r="L116" i="5"/>
  <c r="M116" i="5"/>
  <c r="N116" i="5"/>
  <c r="O116" i="5"/>
  <c r="O203" i="5"/>
  <c r="N203" i="5"/>
  <c r="M203" i="5"/>
  <c r="L203" i="5"/>
  <c r="K203" i="5"/>
  <c r="J203" i="5"/>
  <c r="I203" i="5"/>
  <c r="H203" i="5"/>
  <c r="G203" i="5"/>
  <c r="F203" i="5"/>
  <c r="O202" i="5"/>
  <c r="N202" i="5"/>
  <c r="M202" i="5"/>
  <c r="L202" i="5"/>
  <c r="K202" i="5"/>
  <c r="J202" i="5"/>
  <c r="I202" i="5"/>
  <c r="H202" i="5"/>
  <c r="G202" i="5"/>
  <c r="F202" i="5"/>
  <c r="O201" i="5"/>
  <c r="N201" i="5"/>
  <c r="M201" i="5"/>
  <c r="L201" i="5"/>
  <c r="K201" i="5"/>
  <c r="J201" i="5"/>
  <c r="I201" i="5"/>
  <c r="H201" i="5"/>
  <c r="G201" i="5"/>
  <c r="F201" i="5"/>
  <c r="O200" i="5"/>
  <c r="N200" i="5"/>
  <c r="M200" i="5"/>
  <c r="L200" i="5"/>
  <c r="K200" i="5"/>
  <c r="J200" i="5"/>
  <c r="I200" i="5"/>
  <c r="H200" i="5"/>
  <c r="G200" i="5"/>
  <c r="F200" i="5"/>
  <c r="O199" i="5"/>
  <c r="N199" i="5"/>
  <c r="M199" i="5"/>
  <c r="L199" i="5"/>
  <c r="K199" i="5"/>
  <c r="J199" i="5"/>
  <c r="I199" i="5"/>
  <c r="H199" i="5"/>
  <c r="G199" i="5"/>
  <c r="F199" i="5"/>
  <c r="O198" i="5"/>
  <c r="N198" i="5"/>
  <c r="M198" i="5"/>
  <c r="L198" i="5"/>
  <c r="K198" i="5"/>
  <c r="J198" i="5"/>
  <c r="I198" i="5"/>
  <c r="H198" i="5"/>
  <c r="G198" i="5"/>
  <c r="F198" i="5"/>
  <c r="O197" i="5"/>
  <c r="N197" i="5"/>
  <c r="M197" i="5"/>
  <c r="L197" i="5"/>
  <c r="K197" i="5"/>
  <c r="J197" i="5"/>
  <c r="I197" i="5"/>
  <c r="H197" i="5"/>
  <c r="G197" i="5"/>
  <c r="F197" i="5"/>
  <c r="O196" i="5"/>
  <c r="N196" i="5"/>
  <c r="M196" i="5"/>
  <c r="L196" i="5"/>
  <c r="K196" i="5"/>
  <c r="J196" i="5"/>
  <c r="I196" i="5"/>
  <c r="H196" i="5"/>
  <c r="G196" i="5"/>
  <c r="F196" i="5"/>
  <c r="O195" i="5"/>
  <c r="N195" i="5"/>
  <c r="M195" i="5"/>
  <c r="L195" i="5"/>
  <c r="K195" i="5"/>
  <c r="J195" i="5"/>
  <c r="I195" i="5"/>
  <c r="H195" i="5"/>
  <c r="G195" i="5"/>
  <c r="F195" i="5"/>
  <c r="O194" i="5"/>
  <c r="N194" i="5"/>
  <c r="M194" i="5"/>
  <c r="L194" i="5"/>
  <c r="K194" i="5"/>
  <c r="J194" i="5"/>
  <c r="I194" i="5"/>
  <c r="H194" i="5"/>
  <c r="G194" i="5"/>
  <c r="F194" i="5"/>
  <c r="O193" i="5"/>
  <c r="N193" i="5"/>
  <c r="M193" i="5"/>
  <c r="L193" i="5"/>
  <c r="K193" i="5"/>
  <c r="J193" i="5"/>
  <c r="I193" i="5"/>
  <c r="H193" i="5"/>
  <c r="G193" i="5"/>
  <c r="F193" i="5"/>
  <c r="O192" i="5"/>
  <c r="N192" i="5"/>
  <c r="M192" i="5"/>
  <c r="L192" i="5"/>
  <c r="K192" i="5"/>
  <c r="J192" i="5"/>
  <c r="I192" i="5"/>
  <c r="H192" i="5"/>
  <c r="G192" i="5"/>
  <c r="F192" i="5"/>
  <c r="O191" i="5"/>
  <c r="N191" i="5"/>
  <c r="M191" i="5"/>
  <c r="L191" i="5"/>
  <c r="K191" i="5"/>
  <c r="J191" i="5"/>
  <c r="I191" i="5"/>
  <c r="H191" i="5"/>
  <c r="G191" i="5"/>
  <c r="F191" i="5"/>
  <c r="O190" i="5"/>
  <c r="N190" i="5"/>
  <c r="M190" i="5"/>
  <c r="L190" i="5"/>
  <c r="K190" i="5"/>
  <c r="J190" i="5"/>
  <c r="I190" i="5"/>
  <c r="H190" i="5"/>
  <c r="G190" i="5"/>
  <c r="F190" i="5"/>
  <c r="O189" i="5"/>
  <c r="N189" i="5"/>
  <c r="M189" i="5"/>
  <c r="L189" i="5"/>
  <c r="K189" i="5"/>
  <c r="J189" i="5"/>
  <c r="I189" i="5"/>
  <c r="H189" i="5"/>
  <c r="G189" i="5"/>
  <c r="F189" i="5"/>
  <c r="O188" i="5"/>
  <c r="N188" i="5"/>
  <c r="M188" i="5"/>
  <c r="L188" i="5"/>
  <c r="K188" i="5"/>
  <c r="J188" i="5"/>
  <c r="I188" i="5"/>
  <c r="H188" i="5"/>
  <c r="G188" i="5"/>
  <c r="F188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O187" i="5"/>
  <c r="N187" i="5"/>
  <c r="M187" i="5"/>
  <c r="L187" i="5"/>
  <c r="K187" i="5"/>
  <c r="J187" i="5"/>
  <c r="I187" i="5"/>
  <c r="H187" i="5"/>
  <c r="G187" i="5"/>
  <c r="F187" i="5"/>
  <c r="D187" i="5"/>
  <c r="O186" i="5"/>
  <c r="N186" i="5"/>
  <c r="M186" i="5"/>
  <c r="L186" i="5"/>
  <c r="K186" i="5"/>
  <c r="J186" i="5"/>
  <c r="I186" i="5"/>
  <c r="H186" i="5"/>
  <c r="G186" i="5"/>
  <c r="F186" i="5"/>
  <c r="D186" i="5"/>
  <c r="D204" i="5" l="1"/>
  <c r="E203" i="5" l="1"/>
  <c r="E202" i="5"/>
  <c r="E201" i="5"/>
  <c r="E200" i="5"/>
  <c r="E199" i="5"/>
  <c r="E198" i="5"/>
  <c r="E196" i="5"/>
  <c r="E194" i="5"/>
  <c r="E193" i="5"/>
  <c r="E192" i="5"/>
  <c r="E191" i="5"/>
  <c r="E190" i="5"/>
  <c r="E189" i="5"/>
  <c r="C25" i="15" l="1"/>
  <c r="E5" i="15" l="1"/>
  <c r="E7" i="15"/>
  <c r="E9" i="15"/>
  <c r="E11" i="15"/>
  <c r="E13" i="15"/>
  <c r="E15" i="15"/>
  <c r="E17" i="15"/>
  <c r="E19" i="15"/>
  <c r="E21" i="15"/>
  <c r="E6" i="15"/>
  <c r="F6" i="15" s="1"/>
  <c r="E8" i="15"/>
  <c r="E10" i="15"/>
  <c r="F10" i="15" s="1"/>
  <c r="E12" i="15"/>
  <c r="E14" i="15"/>
  <c r="F14" i="15" s="1"/>
  <c r="E16" i="15"/>
  <c r="E18" i="15"/>
  <c r="F18" i="15" s="1"/>
  <c r="E20" i="15"/>
  <c r="E4" i="15"/>
  <c r="F4" i="15" s="1"/>
  <c r="F21" i="15"/>
  <c r="F20" i="15"/>
  <c r="F19" i="15"/>
  <c r="F17" i="15"/>
  <c r="F16" i="15"/>
  <c r="F15" i="15"/>
  <c r="F13" i="15"/>
  <c r="F12" i="15"/>
  <c r="F11" i="15"/>
  <c r="F9" i="15"/>
  <c r="F8" i="15"/>
  <c r="F7" i="15"/>
  <c r="F5" i="15"/>
  <c r="E22" i="15" l="1"/>
  <c r="F22" i="15"/>
  <c r="E221" i="5" l="1"/>
  <c r="F221" i="5"/>
  <c r="G221" i="5"/>
  <c r="H221" i="5"/>
  <c r="I221" i="5"/>
  <c r="J221" i="5"/>
  <c r="K221" i="5"/>
  <c r="L221" i="5"/>
  <c r="M221" i="5"/>
  <c r="N221" i="5"/>
  <c r="O221" i="5"/>
  <c r="D221" i="5"/>
  <c r="P217" i="5"/>
  <c r="P220" i="5"/>
  <c r="P221" i="5" l="1"/>
  <c r="P90" i="5"/>
  <c r="P88" i="5"/>
  <c r="P84" i="5"/>
  <c r="P83" i="5"/>
  <c r="F141" i="5" l="1"/>
  <c r="H141" i="5"/>
  <c r="I141" i="5"/>
  <c r="K141" i="5"/>
  <c r="L141" i="5"/>
  <c r="N141" i="5"/>
  <c r="O141" i="5"/>
  <c r="E141" i="5"/>
  <c r="C187" i="5"/>
  <c r="E187" i="5" s="1"/>
  <c r="C186" i="5"/>
  <c r="E186" i="5" s="1"/>
  <c r="P186" i="5" s="1"/>
  <c r="Q186" i="5" s="1"/>
  <c r="Q88" i="5"/>
  <c r="R88" i="5" s="1"/>
  <c r="Q26" i="5"/>
  <c r="Q27" i="5"/>
  <c r="Q29" i="5"/>
  <c r="Q30" i="5"/>
  <c r="Q31" i="5"/>
  <c r="Q48" i="5"/>
  <c r="Q65" i="5"/>
  <c r="Q66" i="5"/>
  <c r="Q67" i="5"/>
  <c r="Q68" i="5"/>
  <c r="Q70" i="5"/>
  <c r="Q71" i="5"/>
  <c r="Q76" i="5"/>
  <c r="Q78" i="5"/>
  <c r="Q80" i="5"/>
  <c r="Q81" i="5"/>
  <c r="Q82" i="5"/>
  <c r="Q83" i="5"/>
  <c r="R83" i="5" s="1"/>
  <c r="Q84" i="5"/>
  <c r="R84" i="5" s="1"/>
  <c r="Q86" i="5"/>
  <c r="R86" i="5" s="1"/>
  <c r="Q87" i="5"/>
  <c r="R87" i="5" s="1"/>
  <c r="Q95" i="5"/>
  <c r="R95" i="5" s="1"/>
  <c r="Q97" i="5"/>
  <c r="R97" i="5" s="1"/>
  <c r="Q99" i="5"/>
  <c r="Q100" i="5"/>
  <c r="Q107" i="5"/>
  <c r="R107" i="5" s="1"/>
  <c r="Q111" i="5"/>
  <c r="Q112" i="5"/>
  <c r="Q118" i="5"/>
  <c r="Q120" i="5"/>
  <c r="Q121" i="5"/>
  <c r="Q122" i="5"/>
  <c r="R122" i="5" s="1"/>
  <c r="Q124" i="5"/>
  <c r="R124" i="5" s="1"/>
  <c r="Q127" i="5"/>
  <c r="Q129" i="5"/>
  <c r="Q130" i="5"/>
  <c r="Q133" i="5"/>
  <c r="Q134" i="5"/>
  <c r="Q136" i="5"/>
  <c r="Q137" i="5"/>
  <c r="Q139" i="5"/>
  <c r="Q140" i="5"/>
  <c r="Q143" i="5"/>
  <c r="Q147" i="5"/>
  <c r="Q149" i="5"/>
  <c r="Q150" i="5"/>
  <c r="Q151" i="5"/>
  <c r="Q154" i="5"/>
  <c r="Q156" i="5"/>
  <c r="Q158" i="5"/>
  <c r="Q159" i="5"/>
  <c r="Q161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4" i="5"/>
  <c r="Q185" i="5"/>
  <c r="Q205" i="5"/>
  <c r="Q206" i="5"/>
  <c r="Q208" i="5"/>
  <c r="C12" i="5"/>
  <c r="Q110" i="5" l="1"/>
  <c r="R110" i="5" s="1"/>
  <c r="E110" i="5"/>
  <c r="G110" i="5"/>
  <c r="I110" i="5"/>
  <c r="K110" i="5"/>
  <c r="M110" i="5"/>
  <c r="O110" i="5"/>
  <c r="D110" i="5"/>
  <c r="F110" i="5"/>
  <c r="H110" i="5"/>
  <c r="J110" i="5"/>
  <c r="L110" i="5"/>
  <c r="N110" i="5"/>
  <c r="C204" i="5"/>
  <c r="C183" i="5"/>
  <c r="R183" i="5" s="1"/>
  <c r="C162" i="5"/>
  <c r="C155" i="5"/>
  <c r="R155" i="5" s="1"/>
  <c r="C148" i="5"/>
  <c r="R148" i="5" s="1"/>
  <c r="C142" i="5"/>
  <c r="C132" i="5"/>
  <c r="C113" i="5"/>
  <c r="Q92" i="5"/>
  <c r="R92" i="5" s="1"/>
  <c r="Q90" i="5"/>
  <c r="R90" i="5" s="1"/>
  <c r="Q89" i="5"/>
  <c r="R89" i="5" s="1"/>
  <c r="C98" i="5"/>
  <c r="C75" i="5"/>
  <c r="R75" i="5" s="1"/>
  <c r="C21" i="5"/>
  <c r="C10" i="5" l="1"/>
  <c r="C28" i="5" s="1"/>
  <c r="R21" i="5"/>
  <c r="Q113" i="5"/>
  <c r="R113" i="5"/>
  <c r="C157" i="5"/>
  <c r="C77" i="5"/>
  <c r="R77" i="5" s="1"/>
  <c r="Q75" i="5"/>
  <c r="C69" i="5"/>
  <c r="C207" i="5" l="1"/>
  <c r="C79" i="5"/>
  <c r="O148" i="5"/>
  <c r="N148" i="5"/>
  <c r="M148" i="5"/>
  <c r="L148" i="5"/>
  <c r="K148" i="5"/>
  <c r="J148" i="5"/>
  <c r="I148" i="5"/>
  <c r="H148" i="5"/>
  <c r="G148" i="5"/>
  <c r="F148" i="5"/>
  <c r="D148" i="5"/>
  <c r="P147" i="5"/>
  <c r="P146" i="5"/>
  <c r="Q14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E204" i="5"/>
  <c r="F204" i="5"/>
  <c r="G204" i="5"/>
  <c r="H204" i="5"/>
  <c r="I204" i="5"/>
  <c r="J204" i="5"/>
  <c r="K204" i="5"/>
  <c r="L204" i="5"/>
  <c r="M204" i="5"/>
  <c r="N204" i="5"/>
  <c r="O204" i="5"/>
  <c r="E148" i="5" l="1"/>
  <c r="P161" i="5"/>
  <c r="P204" i="5"/>
  <c r="Q204" i="5" s="1"/>
  <c r="Q145" i="5" l="1"/>
  <c r="P131" i="5"/>
  <c r="Q131" i="5" s="1"/>
  <c r="R131" i="5" s="1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A53" i="13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C12" i="13"/>
  <c r="P148" i="5" l="1"/>
  <c r="Q148" i="5" s="1"/>
  <c r="H99" i="13"/>
  <c r="I99" i="13" s="1"/>
  <c r="H97" i="13"/>
  <c r="I97" i="13" s="1"/>
  <c r="H95" i="13"/>
  <c r="I95" i="13" s="1"/>
  <c r="H93" i="13"/>
  <c r="I93" i="13" s="1"/>
  <c r="H91" i="13"/>
  <c r="I91" i="13" s="1"/>
  <c r="H89" i="13"/>
  <c r="I89" i="13" s="1"/>
  <c r="H87" i="13"/>
  <c r="I87" i="13" s="1"/>
  <c r="H85" i="13"/>
  <c r="I85" i="13" s="1"/>
  <c r="H83" i="13"/>
  <c r="I83" i="13" s="1"/>
  <c r="H81" i="13"/>
  <c r="I81" i="13" s="1"/>
  <c r="H79" i="13"/>
  <c r="I79" i="13" s="1"/>
  <c r="H77" i="13"/>
  <c r="I77" i="13" s="1"/>
  <c r="H75" i="13"/>
  <c r="I75" i="13" s="1"/>
  <c r="H73" i="13"/>
  <c r="I73" i="13" s="1"/>
  <c r="H71" i="13"/>
  <c r="I71" i="13" s="1"/>
  <c r="H69" i="13"/>
  <c r="I69" i="13" s="1"/>
  <c r="H67" i="13"/>
  <c r="I67" i="13" s="1"/>
  <c r="H65" i="13"/>
  <c r="I65" i="13" s="1"/>
  <c r="H63" i="13"/>
  <c r="I63" i="13" s="1"/>
  <c r="H61" i="13"/>
  <c r="I61" i="13" s="1"/>
  <c r="H59" i="13"/>
  <c r="I59" i="13" s="1"/>
  <c r="H57" i="13"/>
  <c r="I57" i="13" s="1"/>
  <c r="H55" i="13"/>
  <c r="I55" i="13" s="1"/>
  <c r="H53" i="13"/>
  <c r="I53" i="13" s="1"/>
  <c r="H39" i="13"/>
  <c r="I39" i="13" s="1"/>
  <c r="H41" i="13"/>
  <c r="I41" i="13" s="1"/>
  <c r="H43" i="13"/>
  <c r="I43" i="13" s="1"/>
  <c r="H45" i="13"/>
  <c r="I45" i="13" s="1"/>
  <c r="H47" i="13"/>
  <c r="I47" i="13" s="1"/>
  <c r="H49" i="13"/>
  <c r="I49" i="13" s="1"/>
  <c r="H51" i="13"/>
  <c r="I51" i="13" s="1"/>
  <c r="H54" i="13"/>
  <c r="I54" i="13" s="1"/>
  <c r="H58" i="13"/>
  <c r="I58" i="13" s="1"/>
  <c r="H62" i="13"/>
  <c r="I62" i="13" s="1"/>
  <c r="H66" i="13"/>
  <c r="I66" i="13" s="1"/>
  <c r="H70" i="13"/>
  <c r="I70" i="13" s="1"/>
  <c r="H74" i="13"/>
  <c r="I74" i="13" s="1"/>
  <c r="H78" i="13"/>
  <c r="I78" i="13" s="1"/>
  <c r="H82" i="13"/>
  <c r="I82" i="13" s="1"/>
  <c r="H86" i="13"/>
  <c r="I86" i="13" s="1"/>
  <c r="H90" i="13"/>
  <c r="I90" i="13" s="1"/>
  <c r="H94" i="13"/>
  <c r="I94" i="13" s="1"/>
  <c r="H98" i="13"/>
  <c r="I98" i="13" s="1"/>
  <c r="H16" i="13"/>
  <c r="I16" i="13" s="1"/>
  <c r="H17" i="13"/>
  <c r="I17" i="13" s="1"/>
  <c r="H18" i="13"/>
  <c r="I18" i="13" s="1"/>
  <c r="H19" i="13"/>
  <c r="I19" i="13" s="1"/>
  <c r="H20" i="13"/>
  <c r="I20" i="13" s="1"/>
  <c r="H21" i="13"/>
  <c r="I21" i="13" s="1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I35" i="13" s="1"/>
  <c r="H36" i="13"/>
  <c r="I36" i="13" s="1"/>
  <c r="H37" i="13"/>
  <c r="I37" i="13" s="1"/>
  <c r="H38" i="13"/>
  <c r="I38" i="13" s="1"/>
  <c r="H40" i="13"/>
  <c r="I40" i="13" s="1"/>
  <c r="H42" i="13"/>
  <c r="I42" i="13" s="1"/>
  <c r="H44" i="13"/>
  <c r="I44" i="13" s="1"/>
  <c r="H46" i="13"/>
  <c r="I46" i="13" s="1"/>
  <c r="H48" i="13"/>
  <c r="I48" i="13" s="1"/>
  <c r="H50" i="13"/>
  <c r="I50" i="13" s="1"/>
  <c r="H52" i="13"/>
  <c r="I52" i="13" s="1"/>
  <c r="H56" i="13"/>
  <c r="I56" i="13" s="1"/>
  <c r="H60" i="13"/>
  <c r="I60" i="13" s="1"/>
  <c r="H64" i="13"/>
  <c r="I64" i="13" s="1"/>
  <c r="H68" i="13"/>
  <c r="I68" i="13" s="1"/>
  <c r="H72" i="13"/>
  <c r="I72" i="13" s="1"/>
  <c r="H76" i="13"/>
  <c r="I76" i="13" s="1"/>
  <c r="H80" i="13"/>
  <c r="I80" i="13" s="1"/>
  <c r="H84" i="13"/>
  <c r="I84" i="13" s="1"/>
  <c r="H88" i="13"/>
  <c r="I88" i="13" s="1"/>
  <c r="H92" i="13"/>
  <c r="I92" i="13" s="1"/>
  <c r="H96" i="13"/>
  <c r="I96" i="13" s="1"/>
  <c r="Q126" i="5" l="1"/>
  <c r="E124" i="5"/>
  <c r="F124" i="5"/>
  <c r="G124" i="5"/>
  <c r="H124" i="5"/>
  <c r="I124" i="5"/>
  <c r="J124" i="5"/>
  <c r="K124" i="5"/>
  <c r="L124" i="5"/>
  <c r="M124" i="5"/>
  <c r="N124" i="5"/>
  <c r="O124" i="5"/>
  <c r="D124" i="5"/>
  <c r="Q123" i="5"/>
  <c r="L107" i="5"/>
  <c r="F107" i="5"/>
  <c r="F111" i="5" l="1"/>
  <c r="G111" i="5"/>
  <c r="H111" i="5"/>
  <c r="I111" i="5"/>
  <c r="J111" i="5"/>
  <c r="K111" i="5"/>
  <c r="L111" i="5"/>
  <c r="M111" i="5"/>
  <c r="N111" i="5"/>
  <c r="O111" i="5"/>
  <c r="F112" i="5"/>
  <c r="G112" i="5"/>
  <c r="H112" i="5"/>
  <c r="I112" i="5"/>
  <c r="J112" i="5"/>
  <c r="K112" i="5"/>
  <c r="L112" i="5"/>
  <c r="M112" i="5"/>
  <c r="N112" i="5"/>
  <c r="O112" i="5"/>
  <c r="F113" i="5"/>
  <c r="G113" i="5"/>
  <c r="H113" i="5"/>
  <c r="I113" i="5"/>
  <c r="J113" i="5"/>
  <c r="K113" i="5"/>
  <c r="L113" i="5"/>
  <c r="M113" i="5"/>
  <c r="N113" i="5"/>
  <c r="O113" i="5"/>
  <c r="G101" i="5"/>
  <c r="H101" i="5"/>
  <c r="I101" i="5"/>
  <c r="J101" i="5"/>
  <c r="K101" i="5"/>
  <c r="L101" i="5"/>
  <c r="M101" i="5"/>
  <c r="N101" i="5"/>
  <c r="O101" i="5"/>
  <c r="C101" i="5" s="1"/>
  <c r="F101" i="5"/>
  <c r="E111" i="5"/>
  <c r="E112" i="5"/>
  <c r="E113" i="5"/>
  <c r="E101" i="5"/>
  <c r="D111" i="5"/>
  <c r="D112" i="5"/>
  <c r="D113" i="5"/>
  <c r="D101" i="5"/>
  <c r="Q101" i="5" l="1"/>
  <c r="R101" i="5"/>
  <c r="J141" i="5"/>
  <c r="Q105" i="5"/>
  <c r="R105" i="5" s="1"/>
  <c r="G141" i="5"/>
  <c r="M141" i="5"/>
  <c r="D141" i="5"/>
  <c r="P96" i="5"/>
  <c r="Q96" i="5" s="1"/>
  <c r="R96" i="5" s="1"/>
  <c r="K94" i="5"/>
  <c r="N94" i="5" s="1"/>
  <c r="I94" i="5"/>
  <c r="D87" i="5"/>
  <c r="E87" i="5"/>
  <c r="F87" i="5"/>
  <c r="G87" i="5"/>
  <c r="H87" i="5"/>
  <c r="I87" i="5"/>
  <c r="J87" i="5"/>
  <c r="K87" i="5"/>
  <c r="L87" i="5"/>
  <c r="M87" i="5"/>
  <c r="N87" i="5"/>
  <c r="O87" i="5"/>
  <c r="P93" i="5" l="1"/>
  <c r="Q93" i="5" s="1"/>
  <c r="R93" i="5" s="1"/>
  <c r="P74" i="5" l="1"/>
  <c r="Q74" i="5" s="1"/>
  <c r="P73" i="5"/>
  <c r="Q73" i="5" s="1"/>
  <c r="P72" i="5"/>
  <c r="Q72" i="5" s="1"/>
  <c r="D51" i="5" l="1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O55" i="5"/>
  <c r="D56" i="5"/>
  <c r="E56" i="5"/>
  <c r="F56" i="5"/>
  <c r="G56" i="5"/>
  <c r="H56" i="5"/>
  <c r="I56" i="5"/>
  <c r="J56" i="5"/>
  <c r="K56" i="5"/>
  <c r="L56" i="5"/>
  <c r="M56" i="5"/>
  <c r="N56" i="5"/>
  <c r="O56" i="5"/>
  <c r="D57" i="5"/>
  <c r="E57" i="5"/>
  <c r="F57" i="5"/>
  <c r="G57" i="5"/>
  <c r="H57" i="5"/>
  <c r="I57" i="5"/>
  <c r="J57" i="5"/>
  <c r="K57" i="5"/>
  <c r="L57" i="5"/>
  <c r="M57" i="5"/>
  <c r="N57" i="5"/>
  <c r="O57" i="5"/>
  <c r="D58" i="5"/>
  <c r="E58" i="5"/>
  <c r="F58" i="5"/>
  <c r="G58" i="5"/>
  <c r="H58" i="5"/>
  <c r="I58" i="5"/>
  <c r="J58" i="5"/>
  <c r="K58" i="5"/>
  <c r="L58" i="5"/>
  <c r="M58" i="5"/>
  <c r="N58" i="5"/>
  <c r="O58" i="5"/>
  <c r="D59" i="5"/>
  <c r="E59" i="5"/>
  <c r="F59" i="5"/>
  <c r="G59" i="5"/>
  <c r="H59" i="5"/>
  <c r="I59" i="5"/>
  <c r="J59" i="5"/>
  <c r="K59" i="5"/>
  <c r="L59" i="5"/>
  <c r="M59" i="5"/>
  <c r="N59" i="5"/>
  <c r="O59" i="5"/>
  <c r="D60" i="5"/>
  <c r="E60" i="5"/>
  <c r="F60" i="5"/>
  <c r="G60" i="5"/>
  <c r="H60" i="5"/>
  <c r="I60" i="5"/>
  <c r="J60" i="5"/>
  <c r="K60" i="5"/>
  <c r="L60" i="5"/>
  <c r="M60" i="5"/>
  <c r="N60" i="5"/>
  <c r="O60" i="5"/>
  <c r="D61" i="5"/>
  <c r="E61" i="5"/>
  <c r="F61" i="5"/>
  <c r="G61" i="5"/>
  <c r="H61" i="5"/>
  <c r="I61" i="5"/>
  <c r="J61" i="5"/>
  <c r="K61" i="5"/>
  <c r="L61" i="5"/>
  <c r="M61" i="5"/>
  <c r="N61" i="5"/>
  <c r="O61" i="5"/>
  <c r="D62" i="5"/>
  <c r="E62" i="5"/>
  <c r="F62" i="5"/>
  <c r="G62" i="5"/>
  <c r="H62" i="5"/>
  <c r="I62" i="5"/>
  <c r="J62" i="5"/>
  <c r="K62" i="5"/>
  <c r="L62" i="5"/>
  <c r="M62" i="5"/>
  <c r="N62" i="5"/>
  <c r="O62" i="5"/>
  <c r="D63" i="5"/>
  <c r="E63" i="5"/>
  <c r="F63" i="5"/>
  <c r="G63" i="5"/>
  <c r="H63" i="5"/>
  <c r="I63" i="5"/>
  <c r="J63" i="5"/>
  <c r="K63" i="5"/>
  <c r="L63" i="5"/>
  <c r="M63" i="5"/>
  <c r="N63" i="5"/>
  <c r="O63" i="5"/>
  <c r="D64" i="5"/>
  <c r="E64" i="5"/>
  <c r="F64" i="5"/>
  <c r="G64" i="5"/>
  <c r="H64" i="5"/>
  <c r="I64" i="5"/>
  <c r="J64" i="5"/>
  <c r="K64" i="5"/>
  <c r="L64" i="5"/>
  <c r="M64" i="5"/>
  <c r="N64" i="5"/>
  <c r="O64" i="5"/>
  <c r="O50" i="5"/>
  <c r="N50" i="5"/>
  <c r="M50" i="5"/>
  <c r="L50" i="5"/>
  <c r="K50" i="5"/>
  <c r="J50" i="5"/>
  <c r="I50" i="5"/>
  <c r="H50" i="5"/>
  <c r="G50" i="5"/>
  <c r="F50" i="5"/>
  <c r="E50" i="5"/>
  <c r="D50" i="5"/>
  <c r="D35" i="5"/>
  <c r="E35" i="5"/>
  <c r="F35" i="5"/>
  <c r="G35" i="5"/>
  <c r="H35" i="5"/>
  <c r="I35" i="5"/>
  <c r="J35" i="5"/>
  <c r="K35" i="5"/>
  <c r="L35" i="5"/>
  <c r="M35" i="5"/>
  <c r="N35" i="5"/>
  <c r="O35" i="5"/>
  <c r="D36" i="5"/>
  <c r="E36" i="5"/>
  <c r="F36" i="5"/>
  <c r="G36" i="5"/>
  <c r="H36" i="5"/>
  <c r="I36" i="5"/>
  <c r="J36" i="5"/>
  <c r="K36" i="5"/>
  <c r="L36" i="5"/>
  <c r="M36" i="5"/>
  <c r="N36" i="5"/>
  <c r="O36" i="5"/>
  <c r="D37" i="5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E34" i="5"/>
  <c r="F34" i="5"/>
  <c r="G34" i="5"/>
  <c r="H34" i="5"/>
  <c r="I34" i="5"/>
  <c r="J34" i="5"/>
  <c r="K34" i="5"/>
  <c r="L34" i="5"/>
  <c r="M34" i="5"/>
  <c r="N34" i="5"/>
  <c r="O34" i="5"/>
  <c r="D33" i="5"/>
  <c r="E33" i="5"/>
  <c r="F33" i="5"/>
  <c r="G33" i="5"/>
  <c r="H33" i="5"/>
  <c r="I33" i="5"/>
  <c r="J33" i="5"/>
  <c r="K33" i="5"/>
  <c r="L33" i="5"/>
  <c r="M33" i="5"/>
  <c r="N33" i="5"/>
  <c r="O33" i="5"/>
  <c r="P22" i="12"/>
  <c r="O22" i="12"/>
  <c r="N22" i="12"/>
  <c r="M22" i="12"/>
  <c r="L22" i="12"/>
  <c r="K22" i="12"/>
  <c r="J22" i="12"/>
  <c r="I22" i="12"/>
  <c r="H22" i="12"/>
  <c r="G22" i="12"/>
  <c r="F22" i="12"/>
  <c r="E22" i="12"/>
  <c r="Q22" i="12" s="1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C7" i="12"/>
  <c r="C21" i="12" s="1"/>
  <c r="Q6" i="12"/>
  <c r="P22" i="11"/>
  <c r="O22" i="11"/>
  <c r="N22" i="11"/>
  <c r="M22" i="11"/>
  <c r="L22" i="11"/>
  <c r="K22" i="11"/>
  <c r="J22" i="11"/>
  <c r="I22" i="11"/>
  <c r="H22" i="11"/>
  <c r="G22" i="11"/>
  <c r="F22" i="11"/>
  <c r="E22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C7" i="11"/>
  <c r="C21" i="11" s="1"/>
  <c r="Q6" i="11"/>
  <c r="Q22" i="11" l="1"/>
  <c r="P64" i="5"/>
  <c r="Q64" i="5" s="1"/>
  <c r="R64" i="5" s="1"/>
  <c r="P62" i="5"/>
  <c r="Q62" i="5" s="1"/>
  <c r="R62" i="5" s="1"/>
  <c r="P60" i="5"/>
  <c r="Q60" i="5" s="1"/>
  <c r="P58" i="5"/>
  <c r="Q58" i="5" s="1"/>
  <c r="R58" i="5" s="1"/>
  <c r="P56" i="5"/>
  <c r="Q56" i="5" s="1"/>
  <c r="R56" i="5" s="1"/>
  <c r="P54" i="5"/>
  <c r="Q54" i="5" s="1"/>
  <c r="R54" i="5" s="1"/>
  <c r="P52" i="5"/>
  <c r="Q52" i="5" s="1"/>
  <c r="R52" i="5" s="1"/>
  <c r="P63" i="5"/>
  <c r="Q63" i="5" s="1"/>
  <c r="R63" i="5" s="1"/>
  <c r="P61" i="5"/>
  <c r="Q61" i="5" s="1"/>
  <c r="R61" i="5" s="1"/>
  <c r="P59" i="5"/>
  <c r="Q59" i="5" s="1"/>
  <c r="R59" i="5" s="1"/>
  <c r="P57" i="5"/>
  <c r="Q57" i="5" s="1"/>
  <c r="R57" i="5" s="1"/>
  <c r="P55" i="5"/>
  <c r="Q55" i="5" s="1"/>
  <c r="R55" i="5" s="1"/>
  <c r="P53" i="5"/>
  <c r="Q53" i="5" s="1"/>
  <c r="R53" i="5" s="1"/>
  <c r="P51" i="5"/>
  <c r="Q51" i="5" s="1"/>
  <c r="R51" i="5" s="1"/>
  <c r="P34" i="5"/>
  <c r="Q34" i="5" s="1"/>
  <c r="R34" i="5" s="1"/>
  <c r="P33" i="5"/>
  <c r="Q33" i="5" s="1"/>
  <c r="R33" i="5" s="1"/>
  <c r="P47" i="5"/>
  <c r="Q47" i="5" s="1"/>
  <c r="R47" i="5" s="1"/>
  <c r="P46" i="5"/>
  <c r="Q46" i="5" s="1"/>
  <c r="R46" i="5" s="1"/>
  <c r="P45" i="5"/>
  <c r="Q45" i="5" s="1"/>
  <c r="R45" i="5" s="1"/>
  <c r="P44" i="5"/>
  <c r="Q44" i="5" s="1"/>
  <c r="R44" i="5" s="1"/>
  <c r="P43" i="5"/>
  <c r="Q43" i="5" s="1"/>
  <c r="P42" i="5"/>
  <c r="Q42" i="5" s="1"/>
  <c r="R42" i="5" s="1"/>
  <c r="P41" i="5"/>
  <c r="Q41" i="5" s="1"/>
  <c r="R41" i="5" s="1"/>
  <c r="P40" i="5"/>
  <c r="Q40" i="5" s="1"/>
  <c r="R40" i="5" s="1"/>
  <c r="P39" i="5"/>
  <c r="Q39" i="5" s="1"/>
  <c r="R39" i="5" s="1"/>
  <c r="P38" i="5"/>
  <c r="Q38" i="5" s="1"/>
  <c r="R38" i="5" s="1"/>
  <c r="P37" i="5"/>
  <c r="Q37" i="5" s="1"/>
  <c r="R37" i="5" s="1"/>
  <c r="P36" i="5"/>
  <c r="Q36" i="5" s="1"/>
  <c r="R36" i="5" s="1"/>
  <c r="P35" i="5"/>
  <c r="Q35" i="5" s="1"/>
  <c r="R35" i="5" s="1"/>
  <c r="Q14" i="10" l="1"/>
  <c r="Q15" i="10"/>
  <c r="Q16" i="10"/>
  <c r="Q17" i="10"/>
  <c r="Q18" i="10"/>
  <c r="Q19" i="10"/>
  <c r="Q20" i="10"/>
  <c r="C7" i="10"/>
  <c r="G13" i="5"/>
  <c r="H13" i="5"/>
  <c r="I13" i="5"/>
  <c r="J13" i="5"/>
  <c r="K13" i="5"/>
  <c r="L13" i="5"/>
  <c r="M13" i="5"/>
  <c r="N13" i="5"/>
  <c r="O13" i="5"/>
  <c r="G14" i="5"/>
  <c r="H14" i="5"/>
  <c r="I14" i="5"/>
  <c r="J14" i="5"/>
  <c r="K14" i="5"/>
  <c r="L14" i="5"/>
  <c r="M14" i="5"/>
  <c r="N14" i="5"/>
  <c r="O14" i="5"/>
  <c r="G15" i="5"/>
  <c r="H15" i="5"/>
  <c r="I15" i="5"/>
  <c r="J15" i="5"/>
  <c r="K15" i="5"/>
  <c r="L15" i="5"/>
  <c r="M15" i="5"/>
  <c r="N15" i="5"/>
  <c r="O15" i="5"/>
  <c r="G16" i="5"/>
  <c r="H16" i="5"/>
  <c r="I16" i="5"/>
  <c r="J16" i="5"/>
  <c r="K16" i="5"/>
  <c r="L16" i="5"/>
  <c r="M16" i="5"/>
  <c r="N16" i="5"/>
  <c r="O16" i="5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/>
  <c r="G19" i="5"/>
  <c r="H19" i="5"/>
  <c r="I19" i="5"/>
  <c r="J19" i="5"/>
  <c r="K19" i="5"/>
  <c r="L19" i="5"/>
  <c r="M19" i="5"/>
  <c r="N19" i="5"/>
  <c r="O19" i="5"/>
  <c r="G20" i="5"/>
  <c r="H20" i="5"/>
  <c r="I20" i="5"/>
  <c r="J20" i="5"/>
  <c r="K20" i="5"/>
  <c r="L20" i="5"/>
  <c r="M20" i="5"/>
  <c r="N20" i="5"/>
  <c r="O20" i="5"/>
  <c r="G21" i="5"/>
  <c r="H21" i="5"/>
  <c r="I21" i="5"/>
  <c r="J21" i="5"/>
  <c r="K21" i="5"/>
  <c r="L21" i="5"/>
  <c r="M21" i="5"/>
  <c r="N21" i="5"/>
  <c r="O21" i="5"/>
  <c r="G22" i="5"/>
  <c r="H22" i="5"/>
  <c r="I22" i="5"/>
  <c r="J22" i="5"/>
  <c r="K22" i="5"/>
  <c r="L22" i="5"/>
  <c r="M22" i="5"/>
  <c r="N22" i="5"/>
  <c r="O22" i="5"/>
  <c r="G23" i="5"/>
  <c r="H23" i="5"/>
  <c r="I23" i="5"/>
  <c r="J23" i="5"/>
  <c r="K23" i="5"/>
  <c r="L23" i="5"/>
  <c r="M23" i="5"/>
  <c r="N23" i="5"/>
  <c r="O23" i="5"/>
  <c r="G24" i="5"/>
  <c r="H24" i="5"/>
  <c r="I24" i="5"/>
  <c r="J24" i="5"/>
  <c r="K24" i="5"/>
  <c r="L24" i="5"/>
  <c r="M24" i="5"/>
  <c r="N24" i="5"/>
  <c r="O24" i="5"/>
  <c r="G25" i="5"/>
  <c r="H25" i="5"/>
  <c r="I25" i="5"/>
  <c r="J25" i="5"/>
  <c r="K25" i="5"/>
  <c r="L25" i="5"/>
  <c r="M25" i="5"/>
  <c r="N25" i="5"/>
  <c r="O25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E16" i="5"/>
  <c r="E17" i="5"/>
  <c r="E18" i="5"/>
  <c r="E19" i="5"/>
  <c r="E20" i="5"/>
  <c r="E21" i="5"/>
  <c r="E22" i="5"/>
  <c r="E23" i="5"/>
  <c r="E24" i="5"/>
  <c r="E25" i="5"/>
  <c r="E13" i="5"/>
  <c r="E14" i="5"/>
  <c r="E15" i="5"/>
  <c r="D15" i="5"/>
  <c r="D16" i="5"/>
  <c r="D17" i="5"/>
  <c r="D18" i="5"/>
  <c r="D19" i="5"/>
  <c r="D20" i="5"/>
  <c r="D21" i="5"/>
  <c r="D22" i="5"/>
  <c r="D23" i="5"/>
  <c r="D24" i="5"/>
  <c r="D25" i="5"/>
  <c r="D14" i="5"/>
  <c r="D13" i="5"/>
  <c r="D11" i="5"/>
  <c r="D226" i="5" s="1"/>
  <c r="D12" i="5"/>
  <c r="E12" i="5"/>
  <c r="F12" i="5"/>
  <c r="G12" i="5"/>
  <c r="H12" i="5"/>
  <c r="I12" i="5"/>
  <c r="J12" i="5"/>
  <c r="K12" i="5"/>
  <c r="L12" i="5"/>
  <c r="M12" i="5"/>
  <c r="N12" i="5"/>
  <c r="O12" i="5"/>
  <c r="O11" i="5"/>
  <c r="O226" i="5" s="1"/>
  <c r="N11" i="5"/>
  <c r="N226" i="5" s="1"/>
  <c r="M11" i="5"/>
  <c r="M226" i="5" s="1"/>
  <c r="L11" i="5"/>
  <c r="L226" i="5" s="1"/>
  <c r="K11" i="5"/>
  <c r="K226" i="5" s="1"/>
  <c r="J11" i="5"/>
  <c r="J226" i="5" s="1"/>
  <c r="I11" i="5"/>
  <c r="I226" i="5" s="1"/>
  <c r="H11" i="5"/>
  <c r="H226" i="5" s="1"/>
  <c r="G11" i="5"/>
  <c r="G226" i="5" s="1"/>
  <c r="F11" i="5"/>
  <c r="F226" i="5" s="1"/>
  <c r="E11" i="5"/>
  <c r="E226" i="5" s="1"/>
  <c r="C6" i="9"/>
  <c r="P226" i="5" l="1"/>
  <c r="F10" i="5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23" i="5"/>
  <c r="Q23" i="5" s="1"/>
  <c r="R23" i="5" s="1"/>
  <c r="P12" i="5"/>
  <c r="Q12" i="5" s="1"/>
  <c r="R12" i="5" s="1"/>
  <c r="P21" i="5"/>
  <c r="Q21" i="5" s="1"/>
  <c r="P19" i="5"/>
  <c r="Q19" i="5" s="1"/>
  <c r="R19" i="5" s="1"/>
  <c r="P17" i="5"/>
  <c r="Q17" i="5" s="1"/>
  <c r="R17" i="5" s="1"/>
  <c r="P25" i="5"/>
  <c r="Q25" i="5" s="1"/>
  <c r="R25" i="5" s="1"/>
  <c r="P22" i="5"/>
  <c r="Q22" i="5" s="1"/>
  <c r="R22" i="5" s="1"/>
  <c r="P15" i="5"/>
  <c r="Q15" i="5" s="1"/>
  <c r="R15" i="5" s="1"/>
  <c r="P24" i="5"/>
  <c r="Q24" i="5" s="1"/>
  <c r="R24" i="5" s="1"/>
  <c r="P18" i="5"/>
  <c r="Q18" i="5" s="1"/>
  <c r="R18" i="5" s="1"/>
  <c r="P16" i="5"/>
  <c r="Q16" i="5" s="1"/>
  <c r="R16" i="5" s="1"/>
  <c r="P20" i="5"/>
  <c r="Q20" i="5" s="1"/>
  <c r="R20" i="5" s="1"/>
  <c r="P14" i="5"/>
  <c r="Q14" i="5" s="1"/>
  <c r="R14" i="5" s="1"/>
  <c r="P11" i="5"/>
  <c r="Q11" i="5" s="1"/>
  <c r="R11" i="5" s="1"/>
  <c r="P10" i="5" l="1"/>
  <c r="Q10" i="5" s="1"/>
  <c r="R10" i="5" s="1"/>
  <c r="Q6" i="9" l="1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5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2" i="9"/>
  <c r="Q32" i="9" l="1"/>
  <c r="Q33" i="9"/>
  <c r="E32" i="5" l="1"/>
  <c r="F32" i="5"/>
  <c r="G32" i="5"/>
  <c r="H32" i="5"/>
  <c r="I32" i="5"/>
  <c r="J32" i="5"/>
  <c r="K32" i="5"/>
  <c r="L32" i="5"/>
  <c r="M32" i="5"/>
  <c r="N32" i="5"/>
  <c r="O32" i="5"/>
  <c r="D3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D155" i="5" l="1"/>
  <c r="E155" i="5"/>
  <c r="F155" i="5"/>
  <c r="G155" i="5"/>
  <c r="H155" i="5"/>
  <c r="I155" i="5"/>
  <c r="J155" i="5"/>
  <c r="K155" i="5"/>
  <c r="L155" i="5"/>
  <c r="M155" i="5"/>
  <c r="N155" i="5"/>
  <c r="O155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53" i="5"/>
  <c r="Q153" i="5" s="1"/>
  <c r="Q152" i="5"/>
  <c r="P160" i="5"/>
  <c r="Q160" i="5" s="1"/>
  <c r="R160" i="5" s="1"/>
  <c r="D132" i="5"/>
  <c r="E132" i="5"/>
  <c r="F132" i="5"/>
  <c r="G132" i="5"/>
  <c r="H132" i="5"/>
  <c r="I132" i="5"/>
  <c r="J132" i="5"/>
  <c r="K132" i="5"/>
  <c r="L132" i="5"/>
  <c r="M132" i="5"/>
  <c r="N132" i="5"/>
  <c r="O132" i="5"/>
  <c r="P141" i="5"/>
  <c r="P142" i="5" l="1"/>
  <c r="Q142" i="5" s="1"/>
  <c r="R142" i="5" s="1"/>
  <c r="Q141" i="5"/>
  <c r="R141" i="5" s="1"/>
  <c r="P22" i="10"/>
  <c r="O22" i="10"/>
  <c r="N22" i="10"/>
  <c r="M22" i="10"/>
  <c r="L22" i="10"/>
  <c r="K22" i="10"/>
  <c r="J22" i="10"/>
  <c r="H22" i="10"/>
  <c r="G22" i="10"/>
  <c r="F22" i="10"/>
  <c r="E22" i="10"/>
  <c r="C21" i="10"/>
  <c r="Q13" i="10"/>
  <c r="I22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F88" i="4"/>
  <c r="F87" i="4"/>
  <c r="F86" i="4"/>
  <c r="P154" i="5"/>
  <c r="F78" i="4" s="1"/>
  <c r="F74" i="4"/>
  <c r="P132" i="5"/>
  <c r="Q132" i="5" s="1"/>
  <c r="R132" i="5" s="1"/>
  <c r="F54" i="4"/>
  <c r="F51" i="4"/>
  <c r="Q116" i="5"/>
  <c r="R116" i="5" s="1"/>
  <c r="P115" i="5"/>
  <c r="Q115" i="5" s="1"/>
  <c r="R115" i="5" s="1"/>
  <c r="P114" i="5"/>
  <c r="C114" i="5" s="1"/>
  <c r="F43" i="4"/>
  <c r="P109" i="5"/>
  <c r="C109" i="5" s="1"/>
  <c r="P108" i="5"/>
  <c r="C108" i="5" s="1"/>
  <c r="P104" i="5"/>
  <c r="C104" i="5" s="1"/>
  <c r="P103" i="5"/>
  <c r="C103" i="5" s="1"/>
  <c r="P102" i="5"/>
  <c r="C102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103" i="5" l="1"/>
  <c r="R103" i="5"/>
  <c r="Q108" i="5"/>
  <c r="R108" i="5"/>
  <c r="Q102" i="5"/>
  <c r="R102" i="5"/>
  <c r="Q104" i="5"/>
  <c r="R104" i="5"/>
  <c r="Q109" i="5"/>
  <c r="R109" i="5"/>
  <c r="Q114" i="5"/>
  <c r="R114" i="5"/>
  <c r="R56" i="6"/>
  <c r="Q20" i="6"/>
  <c r="Q31" i="6"/>
  <c r="Q49" i="6"/>
  <c r="F52" i="4" s="1"/>
  <c r="Q64" i="6"/>
  <c r="Q65" i="6"/>
  <c r="Q75" i="6"/>
  <c r="C119" i="5"/>
  <c r="F103" i="5"/>
  <c r="H103" i="5"/>
  <c r="J103" i="5"/>
  <c r="L103" i="5"/>
  <c r="N103" i="5"/>
  <c r="D103" i="5"/>
  <c r="G103" i="5"/>
  <c r="I103" i="5"/>
  <c r="K103" i="5"/>
  <c r="M103" i="5"/>
  <c r="O103" i="5"/>
  <c r="E103" i="5"/>
  <c r="F41" i="4"/>
  <c r="F108" i="5"/>
  <c r="H108" i="5"/>
  <c r="J108" i="5"/>
  <c r="L108" i="5"/>
  <c r="N108" i="5"/>
  <c r="D108" i="5"/>
  <c r="G108" i="5"/>
  <c r="I108" i="5"/>
  <c r="K108" i="5"/>
  <c r="M108" i="5"/>
  <c r="O108" i="5"/>
  <c r="E108" i="5"/>
  <c r="F45" i="4"/>
  <c r="F115" i="5"/>
  <c r="H115" i="5"/>
  <c r="J115" i="5"/>
  <c r="L115" i="5"/>
  <c r="N115" i="5"/>
  <c r="D115" i="5"/>
  <c r="G115" i="5"/>
  <c r="I115" i="5"/>
  <c r="K115" i="5"/>
  <c r="O115" i="5"/>
  <c r="M115" i="5"/>
  <c r="E115" i="5"/>
  <c r="F102" i="5"/>
  <c r="H102" i="5"/>
  <c r="J102" i="5"/>
  <c r="L102" i="5"/>
  <c r="N102" i="5"/>
  <c r="E102" i="5"/>
  <c r="D102" i="5"/>
  <c r="G102" i="5"/>
  <c r="I102" i="5"/>
  <c r="K102" i="5"/>
  <c r="M102" i="5"/>
  <c r="O102" i="5"/>
  <c r="F104" i="5"/>
  <c r="H104" i="5"/>
  <c r="J104" i="5"/>
  <c r="L104" i="5"/>
  <c r="N104" i="5"/>
  <c r="E104" i="5"/>
  <c r="G104" i="5"/>
  <c r="I104" i="5"/>
  <c r="K104" i="5"/>
  <c r="M104" i="5"/>
  <c r="O104" i="5"/>
  <c r="D104" i="5"/>
  <c r="F109" i="5"/>
  <c r="H109" i="5"/>
  <c r="J109" i="5"/>
  <c r="L109" i="5"/>
  <c r="N109" i="5"/>
  <c r="E109" i="5"/>
  <c r="G109" i="5"/>
  <c r="I109" i="5"/>
  <c r="K109" i="5"/>
  <c r="M109" i="5"/>
  <c r="O109" i="5"/>
  <c r="D109" i="5"/>
  <c r="F44" i="4"/>
  <c r="F114" i="5"/>
  <c r="H114" i="5"/>
  <c r="J114" i="5"/>
  <c r="L114" i="5"/>
  <c r="N114" i="5"/>
  <c r="E114" i="5"/>
  <c r="G114" i="5"/>
  <c r="I114" i="5"/>
  <c r="K114" i="5"/>
  <c r="M114" i="5"/>
  <c r="O114" i="5"/>
  <c r="D114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42" i="5"/>
  <c r="N142" i="5"/>
  <c r="L142" i="5"/>
  <c r="J142" i="5"/>
  <c r="H142" i="5"/>
  <c r="F142" i="5"/>
  <c r="O142" i="5"/>
  <c r="M142" i="5"/>
  <c r="K142" i="5"/>
  <c r="I142" i="5"/>
  <c r="G142" i="5"/>
  <c r="G157" i="5" s="1"/>
  <c r="E142" i="5"/>
  <c r="P183" i="5"/>
  <c r="Q183" i="5" s="1"/>
  <c r="P162" i="5"/>
  <c r="Q162" i="5" s="1"/>
  <c r="R162" i="5" s="1"/>
  <c r="D28" i="5"/>
  <c r="N28" i="5"/>
  <c r="L28" i="5"/>
  <c r="J28" i="5"/>
  <c r="H28" i="5"/>
  <c r="F28" i="5"/>
  <c r="O28" i="5"/>
  <c r="M28" i="5"/>
  <c r="K28" i="5"/>
  <c r="I28" i="5"/>
  <c r="G28" i="5"/>
  <c r="E28" i="5"/>
  <c r="O49" i="5"/>
  <c r="M49" i="5"/>
  <c r="K49" i="5"/>
  <c r="I49" i="5"/>
  <c r="G49" i="5"/>
  <c r="E49" i="5"/>
  <c r="N49" i="5"/>
  <c r="L49" i="5"/>
  <c r="J49" i="5"/>
  <c r="H49" i="5"/>
  <c r="F49" i="5"/>
  <c r="D49" i="5"/>
  <c r="P50" i="5"/>
  <c r="Q50" i="5" s="1"/>
  <c r="R50" i="5" s="1"/>
  <c r="Q22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P155" i="5"/>
  <c r="P157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57" i="5" l="1"/>
  <c r="K207" i="5" s="1"/>
  <c r="O157" i="5"/>
  <c r="O207" i="5" s="1"/>
  <c r="H157" i="5"/>
  <c r="H207" i="5" s="1"/>
  <c r="L157" i="5"/>
  <c r="L207" i="5" s="1"/>
  <c r="D157" i="5"/>
  <c r="D207" i="5" s="1"/>
  <c r="E157" i="5"/>
  <c r="E207" i="5" s="1"/>
  <c r="I157" i="5"/>
  <c r="I207" i="5" s="1"/>
  <c r="M157" i="5"/>
  <c r="M207" i="5" s="1"/>
  <c r="F157" i="5"/>
  <c r="F207" i="5" s="1"/>
  <c r="J157" i="5"/>
  <c r="J207" i="5" s="1"/>
  <c r="N157" i="5"/>
  <c r="N207" i="5" s="1"/>
  <c r="Q157" i="5"/>
  <c r="R157" i="5" s="1"/>
  <c r="Q155" i="5"/>
  <c r="E62" i="6"/>
  <c r="E67" i="6" s="1"/>
  <c r="G207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22" i="5"/>
  <c r="M122" i="5"/>
  <c r="F122" i="5"/>
  <c r="N122" i="5"/>
  <c r="D122" i="5"/>
  <c r="E122" i="5"/>
  <c r="K56" i="6"/>
  <c r="K62" i="6" s="1"/>
  <c r="K67" i="6" s="1"/>
  <c r="K76" i="6" s="1"/>
  <c r="E58" i="6"/>
  <c r="G122" i="5"/>
  <c r="K122" i="5"/>
  <c r="O122" i="5"/>
  <c r="J122" i="5"/>
  <c r="H122" i="5"/>
  <c r="L122" i="5"/>
  <c r="F69" i="5"/>
  <c r="J69" i="5"/>
  <c r="N69" i="5"/>
  <c r="E69" i="5"/>
  <c r="I69" i="5"/>
  <c r="M69" i="5"/>
  <c r="D69" i="5"/>
  <c r="H69" i="5"/>
  <c r="L69" i="5"/>
  <c r="G69" i="5"/>
  <c r="K69" i="5"/>
  <c r="O69" i="5"/>
  <c r="F28" i="4"/>
  <c r="P32" i="5"/>
  <c r="P28" i="5"/>
  <c r="Q28" i="5" s="1"/>
  <c r="R28" i="5" s="1"/>
  <c r="P49" i="5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29" i="6"/>
  <c r="L29" i="6"/>
  <c r="H29" i="6"/>
  <c r="N29" i="6"/>
  <c r="J29" i="6"/>
  <c r="F29" i="6"/>
  <c r="Q10" i="6"/>
  <c r="P207" i="5" l="1"/>
  <c r="Q207" i="5" s="1"/>
  <c r="F16" i="4"/>
  <c r="Q32" i="5"/>
  <c r="R32" i="5" s="1"/>
  <c r="F18" i="4"/>
  <c r="Q49" i="5"/>
  <c r="R49" i="5" s="1"/>
  <c r="F10" i="4"/>
  <c r="Q29" i="6"/>
  <c r="P69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69" i="5"/>
  <c r="R69" i="5" s="1"/>
  <c r="P14" i="8"/>
  <c r="W11" i="8"/>
  <c r="W14" i="8" s="1"/>
  <c r="L5" i="7"/>
  <c r="I5" i="7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K5" i="7" l="1"/>
  <c r="M5" i="7"/>
  <c r="G6" i="7" s="1"/>
  <c r="F67" i="6"/>
  <c r="Q62" i="6"/>
  <c r="J6" i="7" l="1"/>
  <c r="F76" i="6"/>
  <c r="Q76" i="6" s="1"/>
  <c r="Q67" i="6"/>
  <c r="L6" i="7" l="1"/>
  <c r="I6" i="7"/>
  <c r="K6" i="7" l="1"/>
  <c r="M6" i="7"/>
  <c r="G7" i="7" s="1"/>
  <c r="J7" i="7" l="1"/>
  <c r="L7" i="7" l="1"/>
  <c r="I7" i="7"/>
  <c r="K7" i="7" l="1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H75" i="5" l="1"/>
  <c r="H77" i="5" s="1"/>
  <c r="H79" i="5" s="1"/>
  <c r="G75" i="5"/>
  <c r="G77" i="5" s="1"/>
  <c r="G79" i="5" s="1"/>
  <c r="N75" i="5"/>
  <c r="N77" i="5" s="1"/>
  <c r="N79" i="5" s="1"/>
  <c r="P77" i="5"/>
  <c r="M75" i="5"/>
  <c r="M77" i="5" s="1"/>
  <c r="M79" i="5" s="1"/>
  <c r="O75" i="5"/>
  <c r="O77" i="5" s="1"/>
  <c r="O79" i="5" s="1"/>
  <c r="E75" i="5"/>
  <c r="E77" i="5" s="1"/>
  <c r="E79" i="5" s="1"/>
  <c r="L75" i="5"/>
  <c r="L77" i="5" s="1"/>
  <c r="L79" i="5" s="1"/>
  <c r="K75" i="5"/>
  <c r="K77" i="5" s="1"/>
  <c r="K79" i="5" s="1"/>
  <c r="I75" i="5"/>
  <c r="I77" i="5" s="1"/>
  <c r="I79" i="5" s="1"/>
  <c r="J75" i="5"/>
  <c r="J77" i="5" s="1"/>
  <c r="J79" i="5" s="1"/>
  <c r="D75" i="5"/>
  <c r="D77" i="5" s="1"/>
  <c r="D79" i="5" s="1"/>
  <c r="F75" i="5"/>
  <c r="F77" i="5" s="1"/>
  <c r="F79" i="5" s="1"/>
  <c r="J89" i="5"/>
  <c r="O89" i="5"/>
  <c r="E89" i="5"/>
  <c r="L89" i="5"/>
  <c r="F89" i="5"/>
  <c r="H89" i="5"/>
  <c r="G89" i="5"/>
  <c r="N89" i="5"/>
  <c r="K89" i="5"/>
  <c r="I89" i="5"/>
  <c r="M89" i="5"/>
  <c r="F29" i="4"/>
  <c r="N92" i="5"/>
  <c r="F30" i="4"/>
  <c r="E92" i="5"/>
  <c r="L92" i="5"/>
  <c r="J92" i="5"/>
  <c r="H92" i="5"/>
  <c r="K92" i="5"/>
  <c r="G92" i="5"/>
  <c r="O92" i="5"/>
  <c r="F92" i="5"/>
  <c r="I92" i="5"/>
  <c r="M92" i="5"/>
  <c r="H95" i="5"/>
  <c r="K95" i="5"/>
  <c r="J95" i="5"/>
  <c r="F32" i="4"/>
  <c r="G95" i="5"/>
  <c r="F95" i="5"/>
  <c r="N95" i="5"/>
  <c r="M95" i="5"/>
  <c r="I95" i="5"/>
  <c r="E95" i="5"/>
  <c r="O95" i="5"/>
  <c r="L95" i="5"/>
  <c r="F33" i="4"/>
  <c r="J97" i="5"/>
  <c r="O97" i="5"/>
  <c r="L97" i="5"/>
  <c r="G97" i="5"/>
  <c r="N97" i="5"/>
  <c r="M97" i="5"/>
  <c r="E97" i="5"/>
  <c r="K97" i="5"/>
  <c r="I97" i="5"/>
  <c r="F97" i="5"/>
  <c r="H97" i="5"/>
  <c r="D97" i="5"/>
  <c r="D89" i="5"/>
  <c r="D95" i="5"/>
  <c r="N86" i="5"/>
  <c r="K86" i="5"/>
  <c r="I86" i="5"/>
  <c r="D92" i="5"/>
  <c r="L86" i="5"/>
  <c r="O86" i="5"/>
  <c r="H86" i="5"/>
  <c r="J86" i="5"/>
  <c r="M86" i="5"/>
  <c r="G86" i="5"/>
  <c r="E86" i="5"/>
  <c r="D86" i="5"/>
  <c r="F86" i="5"/>
  <c r="P94" i="5"/>
  <c r="P79" i="5" l="1"/>
  <c r="Q79" i="5" s="1"/>
  <c r="R79" i="5" s="1"/>
  <c r="Q77" i="5"/>
  <c r="F31" i="4"/>
  <c r="Q94" i="5"/>
  <c r="R94" i="5" s="1"/>
  <c r="D98" i="5"/>
  <c r="G98" i="5"/>
  <c r="J98" i="5"/>
  <c r="O98" i="5"/>
  <c r="K98" i="5"/>
  <c r="H98" i="5"/>
  <c r="I98" i="5"/>
  <c r="N98" i="5"/>
  <c r="F98" i="5"/>
  <c r="M98" i="5"/>
  <c r="L98" i="5"/>
  <c r="E98" i="5"/>
  <c r="P98" i="5"/>
  <c r="Q98" i="5" s="1"/>
  <c r="R98" i="5" s="1"/>
  <c r="P106" i="5"/>
  <c r="Q106" i="5" s="1"/>
  <c r="R106" i="5" s="1"/>
  <c r="F40" i="4" l="1"/>
  <c r="D119" i="5"/>
  <c r="O119" i="5"/>
  <c r="L119" i="5"/>
  <c r="M119" i="5"/>
  <c r="E119" i="5"/>
  <c r="J119" i="5"/>
  <c r="G119" i="5"/>
  <c r="H119" i="5"/>
  <c r="I119" i="5"/>
  <c r="N119" i="5"/>
  <c r="K119" i="5"/>
  <c r="P117" i="5"/>
  <c r="F119" i="5"/>
  <c r="P119" i="5" l="1"/>
  <c r="Q119" i="5" s="1"/>
  <c r="R119" i="5" s="1"/>
  <c r="Q117" i="5"/>
  <c r="M125" i="5" l="1"/>
  <c r="M128" i="5" s="1"/>
  <c r="M135" i="5" s="1"/>
  <c r="M138" i="5" s="1"/>
  <c r="M209" i="5" s="1"/>
  <c r="M224" i="5" s="1"/>
  <c r="M228" i="5" s="1"/>
  <c r="J125" i="5"/>
  <c r="J128" i="5" s="1"/>
  <c r="J135" i="5" s="1"/>
  <c r="J138" i="5" s="1"/>
  <c r="J209" i="5" s="1"/>
  <c r="J224" i="5" s="1"/>
  <c r="J228" i="5" s="1"/>
  <c r="K125" i="5"/>
  <c r="K128" i="5" s="1"/>
  <c r="K135" i="5" s="1"/>
  <c r="K138" i="5" s="1"/>
  <c r="K209" i="5" s="1"/>
  <c r="K224" i="5" s="1"/>
  <c r="K228" i="5" s="1"/>
  <c r="G125" i="5"/>
  <c r="G128" i="5" s="1"/>
  <c r="G135" i="5" s="1"/>
  <c r="G138" i="5" s="1"/>
  <c r="G209" i="5" s="1"/>
  <c r="G224" i="5" s="1"/>
  <c r="G228" i="5" s="1"/>
  <c r="H125" i="5"/>
  <c r="H128" i="5" s="1"/>
  <c r="H135" i="5" s="1"/>
  <c r="H138" i="5" s="1"/>
  <c r="H209" i="5" s="1"/>
  <c r="H224" i="5" s="1"/>
  <c r="H228" i="5" s="1"/>
  <c r="L125" i="5"/>
  <c r="L128" i="5" s="1"/>
  <c r="L135" i="5" s="1"/>
  <c r="L138" i="5" s="1"/>
  <c r="L209" i="5" s="1"/>
  <c r="L224" i="5" s="1"/>
  <c r="L228" i="5" s="1"/>
  <c r="N125" i="5"/>
  <c r="N128" i="5" s="1"/>
  <c r="N135" i="5" s="1"/>
  <c r="N138" i="5" s="1"/>
  <c r="N209" i="5" s="1"/>
  <c r="N224" i="5" s="1"/>
  <c r="N228" i="5" s="1"/>
  <c r="I125" i="5"/>
  <c r="I128" i="5" s="1"/>
  <c r="I135" i="5" s="1"/>
  <c r="I138" i="5" s="1"/>
  <c r="I209" i="5" s="1"/>
  <c r="I224" i="5" s="1"/>
  <c r="I228" i="5" s="1"/>
  <c r="E125" i="5"/>
  <c r="E128" i="5" s="1"/>
  <c r="E135" i="5" s="1"/>
  <c r="E138" i="5" s="1"/>
  <c r="E209" i="5" s="1"/>
  <c r="E224" i="5" s="1"/>
  <c r="E228" i="5" s="1"/>
  <c r="O125" i="5"/>
  <c r="O128" i="5" s="1"/>
  <c r="O135" i="5" s="1"/>
  <c r="O138" i="5" s="1"/>
  <c r="O209" i="5" s="1"/>
  <c r="O224" i="5" s="1"/>
  <c r="O228" i="5" s="1"/>
  <c r="F125" i="5"/>
  <c r="F128" i="5" s="1"/>
  <c r="F135" i="5" s="1"/>
  <c r="F138" i="5" s="1"/>
  <c r="F209" i="5" s="1"/>
  <c r="F224" i="5" s="1"/>
  <c r="F228" i="5" s="1"/>
  <c r="P128" i="5"/>
  <c r="P135" i="5" s="1"/>
  <c r="P138" i="5" s="1"/>
  <c r="P209" i="5" s="1"/>
  <c r="P224" i="5" s="1"/>
  <c r="P228" i="5" s="1"/>
  <c r="C125" i="5"/>
  <c r="D125" i="5"/>
  <c r="D128" i="5" s="1"/>
  <c r="D135" i="5" s="1"/>
  <c r="D138" i="5" s="1"/>
  <c r="D209" i="5" s="1"/>
  <c r="D212" i="5" s="1"/>
  <c r="E211" i="5" s="1"/>
  <c r="Q125" i="5" l="1"/>
  <c r="R125" i="5"/>
  <c r="E212" i="5"/>
  <c r="F211" i="5" s="1"/>
  <c r="F212" i="5" s="1"/>
  <c r="G211" i="5" s="1"/>
  <c r="G212" i="5" s="1"/>
  <c r="H211" i="5" s="1"/>
  <c r="H212" i="5" s="1"/>
  <c r="I211" i="5" s="1"/>
  <c r="I212" i="5" s="1"/>
  <c r="J211" i="5" s="1"/>
  <c r="J212" i="5" s="1"/>
  <c r="K211" i="5" s="1"/>
  <c r="K212" i="5" s="1"/>
  <c r="L211" i="5" s="1"/>
  <c r="L212" i="5" s="1"/>
  <c r="M211" i="5" s="1"/>
  <c r="M212" i="5" s="1"/>
  <c r="N211" i="5" s="1"/>
  <c r="N212" i="5" s="1"/>
  <c r="O211" i="5" s="1"/>
  <c r="O212" i="5" s="1"/>
  <c r="C128" i="5"/>
  <c r="D224" i="5"/>
  <c r="D228" i="5" s="1"/>
  <c r="Q128" i="5"/>
  <c r="F53" i="4"/>
  <c r="C135" i="5" l="1"/>
  <c r="R128" i="5"/>
  <c r="C138" i="5" l="1"/>
  <c r="Q135" i="5"/>
  <c r="R135" i="5" s="1"/>
  <c r="C209" i="5" l="1"/>
  <c r="Q209" i="5" s="1"/>
  <c r="Q138" i="5"/>
  <c r="R138" i="5" s="1"/>
</calcChain>
</file>

<file path=xl/sharedStrings.xml><?xml version="1.0" encoding="utf-8"?>
<sst xmlns="http://schemas.openxmlformats.org/spreadsheetml/2006/main" count="1130" uniqueCount="610">
  <si>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</si>
  <si>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</si>
  <si>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</si>
  <si>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</si>
  <si>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</si>
  <si>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</si>
  <si>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</si>
  <si>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</si>
  <si>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</si>
  <si>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</si>
  <si>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</si>
  <si>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</si>
  <si>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</si>
  <si>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</si>
  <si>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</si>
  <si>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</si>
  <si>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</si>
  <si>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</si>
  <si>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</si>
  <si>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</si>
  <si>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</si>
  <si>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</si>
  <si>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</si>
  <si>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</si>
  <si>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</si>
  <si>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</si>
  <si>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</si>
  <si>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</si>
  <si>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</si>
  <si>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</si>
  <si>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</si>
  <si>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</si>
  <si>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</si>
  <si>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</si>
  <si>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</si>
  <si>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</si>
  <si>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</si>
  <si>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</si>
  <si>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</si>
  <si>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</si>
  <si>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</si>
  <si>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</si>
  <si>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</si>
  <si>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</si>
  <si>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</si>
  <si>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</si>
  <si>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</si>
  <si>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</si>
  <si>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</si>
  <si>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</si>
  <si>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</si>
  <si>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</si>
  <si>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</si>
  <si>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</si>
  <si>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</si>
  <si>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</si>
  <si>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</si>
  <si>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</si>
  <si>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</si>
  <si>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</si>
  <si>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</si>
  <si>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</si>
  <si>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</si>
  <si>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</si>
  <si>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</si>
  <si>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</si>
  <si>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</si>
  <si>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</si>
  <si>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</si>
  <si>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</si>
  <si>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</si>
  <si>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</si>
  <si>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</si>
  <si>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</si>
  <si>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</si>
  <si>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</si>
  <si>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</si>
  <si>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</si>
  <si>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</si>
  <si>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</si>
  <si>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</si>
  <si>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</si>
  <si>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</si>
  <si>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</si>
  <si>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</si>
  <si>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</si>
  <si>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</si>
  <si>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</si>
  <si>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</si>
  <si>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</si>
  <si>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</si>
  <si>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</si>
  <si>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</si>
  <si>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</si>
  <si>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</si>
  <si>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</si>
  <si>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</si>
  <si>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</si>
  <si>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</si>
  <si>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</si>
  <si>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</si>
  <si>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</si>
  <si>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</si>
  <si>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</si>
  <si>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</si>
  <si>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</si>
  <si>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</si>
  <si>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</si>
  <si>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</si>
  <si>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</si>
  <si>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</si>
  <si>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</si>
  <si>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</si>
  <si>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</si>
  <si>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</si>
  <si>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</si>
  <si>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</si>
  <si>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</si>
  <si>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</si>
  <si>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</si>
  <si>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</si>
  <si>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</si>
  <si>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</si>
  <si>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</si>
  <si>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</si>
  <si>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</si>
  <si>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</si>
  <si>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</si>
  <si>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</si>
  <si>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</si>
  <si>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</si>
  <si>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</si>
  <si>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</si>
  <si>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</si>
  <si>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</si>
  <si>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</si>
  <si>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</si>
  <si>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</si>
  <si>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</si>
  <si>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</si>
  <si>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</si>
  <si>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</si>
  <si>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</si>
  <si>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</si>
  <si>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</si>
  <si>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</si>
  <si>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</si>
  <si>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</si>
  <si>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</si>
  <si>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</si>
  <si>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</si>
  <si>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</si>
  <si>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</si>
  <si>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</si>
  <si>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</si>
  <si>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</si>
  <si>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</si>
  <si>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</si>
  <si>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3419-0000</t>
  </si>
  <si>
    <t>3420-0000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</si>
  <si>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</si>
  <si>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</si>
  <si>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</si>
  <si>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</si>
  <si>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</si>
  <si>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</si>
  <si>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</si>
  <si>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</si>
  <si>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</si>
  <si>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</si>
  <si>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</si>
  <si>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</si>
  <si>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</si>
  <si>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</si>
  <si>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</si>
  <si>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</si>
  <si>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</si>
  <si>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</si>
  <si>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</si>
  <si>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</si>
  <si>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</si>
  <si>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</si>
  <si>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</si>
  <si>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</si>
  <si>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</si>
  <si>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</si>
  <si>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</si>
  <si>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</si>
  <si>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</si>
  <si>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</si>
  <si>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</si>
  <si>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</si>
  <si>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</si>
  <si>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</si>
  <si>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</si>
  <si>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</si>
  <si>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</si>
  <si>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</si>
  <si>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</si>
  <si>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</si>
  <si>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</si>
  <si>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</si>
  <si>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</si>
  <si>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</si>
  <si>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</si>
  <si>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</si>
  <si>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</si>
  <si>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</si>
  <si>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</si>
  <si>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</si>
  <si>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</si>
  <si>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</si>
  <si>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</si>
  <si>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</si>
  <si>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</si>
  <si>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</si>
  <si>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</si>
  <si>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</si>
  <si>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</si>
  <si>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</si>
  <si>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</si>
  <si>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</si>
  <si>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</si>
  <si>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</si>
  <si>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</si>
  <si>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</si>
  <si>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</si>
  <si>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</si>
  <si>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</si>
  <si>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</si>
  <si>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</si>
  <si>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</si>
  <si>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</si>
  <si>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</si>
  <si>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</si>
  <si>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</si>
  <si>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</si>
  <si>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</si>
  <si>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</si>
  <si>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</si>
  <si>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</si>
  <si>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</si>
  <si>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</si>
  <si>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</si>
  <si>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</si>
  <si>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</si>
  <si>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</si>
  <si>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</si>
  <si>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</si>
  <si>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</si>
  <si>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</si>
  <si>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</si>
  <si>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</si>
  <si>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</si>
  <si>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</si>
  <si>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</si>
  <si>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</si>
  <si>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</si>
  <si>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</si>
  <si>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</si>
  <si>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</si>
  <si>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</si>
  <si>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</si>
  <si>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</si>
  <si>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</si>
  <si>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</si>
  <si>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</si>
  <si>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</si>
  <si>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</si>
  <si>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</si>
  <si>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</si>
  <si>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</si>
  <si>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</si>
  <si>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</si>
  <si>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</si>
  <si>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</si>
  <si>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</si>
  <si>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</si>
  <si>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</si>
  <si>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</si>
  <si>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</si>
  <si>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</si>
  <si>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</si>
  <si>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</si>
  <si>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</si>
  <si>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</si>
  <si>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</si>
  <si>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</si>
  <si>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</si>
  <si>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</si>
  <si>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</si>
  <si>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</si>
  <si>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</si>
  <si>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</si>
  <si>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</si>
  <si>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</si>
  <si>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</si>
  <si>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</si>
  <si>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</si>
  <si>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</si>
  <si>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</si>
  <si>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</si>
  <si>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</si>
  <si>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</si>
  <si>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</si>
  <si>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</si>
  <si>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</si>
  <si>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</si>
  <si>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</si>
  <si>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</si>
  <si>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</si>
  <si>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</si>
  <si>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</si>
  <si>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</si>
  <si>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</si>
  <si>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</si>
  <si>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</si>
  <si>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</si>
  <si>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</si>
  <si>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</si>
  <si>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</si>
  <si>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</si>
  <si>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</si>
  <si>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</si>
  <si>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</si>
  <si>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</si>
  <si>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</si>
  <si>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</si>
  <si>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</si>
  <si>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</si>
  <si>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</si>
  <si>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</si>
  <si>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</si>
  <si>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</si>
  <si>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</si>
  <si>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</si>
  <si>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</si>
  <si>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</si>
  <si>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</si>
  <si>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</si>
  <si>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</si>
  <si>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</si>
  <si>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</si>
  <si>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</si>
  <si>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</si>
  <si>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</si>
  <si>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</si>
  <si>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</si>
  <si>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</si>
  <si>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</si>
  <si>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</si>
  <si>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</si>
  <si>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</si>
  <si>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</si>
  <si>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</si>
  <si>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</si>
  <si>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</si>
  <si>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</si>
  <si>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</si>
  <si>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</si>
  <si>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</si>
  <si>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</si>
  <si>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</si>
  <si>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</si>
  <si>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</si>
  <si>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</si>
  <si>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</si>
  <si>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</si>
  <si>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</si>
  <si>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</si>
  <si>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</si>
  <si>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</si>
  <si>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</si>
  <si>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</si>
  <si>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</si>
  <si>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</si>
  <si>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</si>
  <si>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</si>
  <si>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</si>
  <si>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</si>
  <si>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</si>
  <si>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</si>
  <si>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</si>
  <si>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</si>
  <si>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</si>
  <si>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</si>
  <si>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</si>
  <si>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</si>
  <si>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</si>
  <si>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</si>
  <si>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</si>
  <si>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</si>
  <si>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</si>
  <si>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</si>
  <si>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</si>
  <si>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</si>
  <si>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</si>
  <si>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Green Health Massage</t>
  </si>
  <si>
    <t>Pulte</t>
  </si>
  <si>
    <t>TLE Learning Center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</si>
  <si>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</si>
  <si>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</si>
  <si>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</si>
  <si>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</si>
  <si>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</si>
  <si>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</si>
  <si>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</si>
  <si>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WIN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</si>
  <si>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</si>
  <si>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</si>
  <si>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</si>
  <si>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</si>
  <si>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</si>
  <si>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Sprint</t>
  </si>
  <si>
    <t>Based on $12 psf LOI</t>
  </si>
  <si>
    <t>Vacant 119</t>
  </si>
  <si>
    <t>Mahzu</t>
  </si>
  <si>
    <t>NYC Community Bankcorp</t>
  </si>
  <si>
    <t>Per original lease in year 8 rent should go up to 15,225 mo</t>
  </si>
  <si>
    <t>RDG Custom</t>
  </si>
  <si>
    <t>*Patidar Cash and Carry will be paying rent on what was formerly three spaces starting in May 2016.</t>
  </si>
  <si>
    <t>2017 OPERATING BUDGET - EAST WINDSOR CROSSING LLC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</si>
  <si>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</si>
  <si>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</si>
  <si>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</si>
  <si>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</si>
  <si>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</si>
  <si>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</si>
  <si>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</si>
  <si>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</si>
  <si>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</si>
  <si>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</si>
  <si>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</si>
  <si>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</si>
  <si>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</si>
  <si>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>Five Star Alliance</t>
  </si>
  <si>
    <t xml:space="preserve">2017 OPERATING BUDGET </t>
  </si>
  <si>
    <t>2017 OPERATING BUDGET</t>
  </si>
  <si>
    <t xml:space="preserve"> </t>
  </si>
  <si>
    <t>2017 PROJECTED TOTAL BUDGET</t>
  </si>
  <si>
    <t> CAM- EXTERMINATOR</t>
  </si>
  <si>
    <t>*Please note this spreadsheet for informational purposes only.  The swap and loan invoices are People's United official payment notices.</t>
  </si>
  <si>
    <t>As of:</t>
  </si>
  <si>
    <t>If you have any questions please call Derivative Sales at 203.338.2156</t>
  </si>
  <si>
    <t>Beginning Balance:</t>
  </si>
  <si>
    <t>Transaction Type</t>
  </si>
  <si>
    <t>Amortizing Swap</t>
  </si>
  <si>
    <t>Swap Trade Date</t>
  </si>
  <si>
    <t>Term</t>
  </si>
  <si>
    <t>7 Years</t>
  </si>
  <si>
    <t>Swap Effective Date</t>
  </si>
  <si>
    <t>Type</t>
  </si>
  <si>
    <t>Fixed Swap vs. 1 month LIBOR</t>
  </si>
  <si>
    <t>Swap Termination Date</t>
  </si>
  <si>
    <t>Payment Dates</t>
  </si>
  <si>
    <t>Monthly on 1st good business day of month, Following Business Day Convention</t>
  </si>
  <si>
    <t>Borrower  Pays:</t>
  </si>
  <si>
    <t>Swap First Payment Date</t>
  </si>
  <si>
    <t>Fixed Swap rate</t>
  </si>
  <si>
    <t xml:space="preserve"> plus floating rate loan's spread</t>
  </si>
  <si>
    <t>Monthly All-in Borrowing Rate</t>
  </si>
  <si>
    <t>Payment number</t>
  </si>
  <si>
    <t xml:space="preserve">            Accrual Period</t>
  </si>
  <si>
    <t>Principal payment last day accrual</t>
  </si>
  <si>
    <t># of Days Accrual Period</t>
  </si>
  <si>
    <t>Net Interest Payment</t>
  </si>
  <si>
    <t>Total Principal and Interest</t>
  </si>
  <si>
    <t>3410-0000</t>
  </si>
  <si>
    <t xml:space="preserve"> DRAWING - CHARLES S. HADDAD</t>
  </si>
  <si>
    <t>3413-0000</t>
  </si>
  <si>
    <t xml:space="preserve"> DRAWING - RICHARD A. HADDAD</t>
  </si>
  <si>
    <t xml:space="preserve"> DRAWING - ISAAC S. JEMAL</t>
  </si>
  <si>
    <t xml:space="preserve"> DRAWING - JOSEPH I. JEMAL</t>
  </si>
  <si>
    <t xml:space="preserve"> DRAWING - SAMUEL I. JEMAL</t>
  </si>
  <si>
    <t>3427-0000</t>
  </si>
  <si>
    <t xml:space="preserve"> DRAWING - DAVID SHWEKY</t>
  </si>
  <si>
    <t>3450-0000</t>
  </si>
  <si>
    <t xml:space="preserve"> DRAWING - ALISON SUTTON</t>
  </si>
  <si>
    <t>3451-0000</t>
  </si>
  <si>
    <t xml:space="preserve"> DRAWING - TREANOVA REALTY VENT</t>
  </si>
  <si>
    <t>3452-0000</t>
  </si>
  <si>
    <t xml:space="preserve"> DRAWING - JOSEPH COHEN</t>
  </si>
  <si>
    <t>3453-0000</t>
  </si>
  <si>
    <t xml:space="preserve"> DRAWING - EST REALTY, LLC</t>
  </si>
  <si>
    <t>3454-0000</t>
  </si>
  <si>
    <t xml:space="preserve"> DRAWING - HMS EAST WINDSOR COR</t>
  </si>
  <si>
    <t>3456-0000</t>
  </si>
  <si>
    <t xml:space="preserve"> DRAWING - UZI SHVOT</t>
  </si>
  <si>
    <t>3458-0000</t>
  </si>
  <si>
    <t xml:space="preserve"> DRAWING - DAY CORP FINANCE CO,SA</t>
  </si>
  <si>
    <t>3459-0000</t>
  </si>
  <si>
    <t xml:space="preserve"> DRAWING - ALFRED SUTTON</t>
  </si>
  <si>
    <t>3460-0000</t>
  </si>
  <si>
    <t xml:space="preserve"> DRAWING - CLAUDE PARDO</t>
  </si>
  <si>
    <t>3461-0000</t>
  </si>
  <si>
    <t xml:space="preserve"> DRAWING - GRS EAST WINDSOR INC</t>
  </si>
  <si>
    <t>3474-0000</t>
  </si>
  <si>
    <t xml:space="preserve"> DRAWING - LILA REAL ESTATE INC.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</si>
  <si>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</si>
  <si>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</si>
  <si>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</si>
  <si>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</si>
  <si>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</si>
  <si>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</si>
  <si>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</si>
  <si>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</si>
  <si>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</si>
  <si>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</si>
  <si>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</si>
  <si>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</si>
  <si>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</si>
  <si>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</si>
  <si>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</si>
  <si>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</si>
  <si>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</si>
  <si>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</si>
  <si>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</si>
  <si>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</si>
  <si>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</si>
  <si>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</si>
  <si>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</si>
  <si>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</si>
  <si>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</si>
  <si>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</si>
  <si>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</si>
  <si>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</si>
  <si>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</si>
  <si>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</si>
  <si>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</si>
  <si>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</si>
  <si>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</si>
  <si>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3455-1000</t>
  </si>
  <si>
    <t xml:space="preserve"> DRAWING - THE RALPH TAWIL CHILDREN</t>
  </si>
  <si>
    <t> CAM- ELEVATOR REPAIR</t>
  </si>
  <si>
    <t> TELEPHONE</t>
  </si>
  <si>
    <t>Mulching and plant replacement in April</t>
  </si>
  <si>
    <t>Extra blitz cleaning $1000 for April and Sept</t>
  </si>
  <si>
    <t>Schilder contract in June and inspection fee in Oct</t>
  </si>
  <si>
    <t>Snow existing contract expires Oct.  Expect increase afterward</t>
  </si>
  <si>
    <t>Supreme Sec service contract on alarms; East Amoby Quarterly sprinkler inspections + annual Feb</t>
  </si>
  <si>
    <t>2016 budget showed $15,950 each month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</si>
  <si>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</si>
  <si>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</si>
  <si>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</si>
  <si>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</si>
  <si>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</si>
  <si>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</si>
  <si>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</si>
  <si>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</si>
  <si>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</si>
  <si>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</si>
  <si>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</si>
  <si>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</si>
  <si>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</si>
  <si>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</si>
  <si>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</si>
  <si>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</si>
  <si>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</si>
  <si>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</si>
  <si>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</si>
  <si>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</si>
  <si>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</si>
  <si>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 xml:space="preserve"> Dry Cleaners - CAM</t>
  </si>
  <si>
    <t xml:space="preserve"> Dry Cleaners - TAXES</t>
  </si>
  <si>
    <t>Total Allowance for Doubtful Accounts</t>
  </si>
  <si>
    <t>ALLOWANCE FOR DOUBTFUL ACCOUNTS</t>
  </si>
  <si>
    <t>Adjusted Cashflow</t>
  </si>
  <si>
    <t>Meet at 8%</t>
  </si>
  <si>
    <t>Grand Total</t>
  </si>
  <si>
    <t>Yoseph (aka) Joseph Cohen</t>
  </si>
  <si>
    <t>Uzi Shvot</t>
  </si>
  <si>
    <t>Treanova Realty Venture, LLC</t>
  </si>
  <si>
    <t>Samuel I. Jemal</t>
  </si>
  <si>
    <t>Richard Haddad</t>
  </si>
  <si>
    <t xml:space="preserve">Ralph Tawil </t>
  </si>
  <si>
    <t xml:space="preserve">Lila Real Estate, Inc </t>
  </si>
  <si>
    <t>Joseph I. Jemal</t>
  </si>
  <si>
    <t>Isaac Jemal</t>
  </si>
  <si>
    <t>HMS East Windsor Corp.</t>
  </si>
  <si>
    <t>GRS East Windsor Inc.</t>
  </si>
  <si>
    <t>EST Realty, LLC</t>
  </si>
  <si>
    <t>Daycorp Finance Co, SA</t>
  </si>
  <si>
    <t>David Shweky</t>
  </si>
  <si>
    <t>Claude Pardo</t>
  </si>
  <si>
    <t xml:space="preserve">Charles Haddad </t>
  </si>
  <si>
    <t>Alison Sutton</t>
  </si>
  <si>
    <t xml:space="preserve">Alfred Sutton </t>
  </si>
  <si>
    <t>Monthly</t>
  </si>
  <si>
    <t>Annual</t>
  </si>
  <si>
    <t>Investors</t>
  </si>
  <si>
    <t>Current Capital</t>
  </si>
  <si>
    <t>%-ownership</t>
  </si>
  <si>
    <t>GL</t>
  </si>
  <si>
    <t>NJ WITHHELD FROM CAPITAL DISTRIBUTION</t>
  </si>
  <si>
    <t xml:space="preserve"> Mahzu - CAM</t>
  </si>
  <si>
    <t>6216-0000</t>
  </si>
  <si>
    <t> CAM- LIGHTING</t>
  </si>
  <si>
    <t>Includes maintenance + site and building</t>
  </si>
  <si>
    <t>$75K? LED Retrofit Parking Lot - Potential Vendor: YESCO, BROADWAY LIGHTING</t>
  </si>
  <si>
    <t xml:space="preserve"> Pulte - CAM</t>
  </si>
  <si>
    <t>$44,524.58 (actual 2015-2016) x 105%</t>
  </si>
  <si>
    <t>reduced by 30% due to CRS SF increase</t>
  </si>
  <si>
    <t>Round up to nearest 100 based on actual 2016</t>
  </si>
  <si>
    <t>Jim: +10% increase above our current billing</t>
  </si>
  <si>
    <t>Based on 2016 Actual less the NJ Withholding</t>
  </si>
  <si>
    <t>1st</t>
  </si>
  <si>
    <t>2nd</t>
  </si>
  <si>
    <t>If we are using Dosa Grill #s</t>
  </si>
  <si>
    <t>Difference between Via Roma and Dosa. Dosa Grill $5,937.50/month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</si>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</sst>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mm/dd/yy"/>
    <numFmt numFmtId="171" formatCode="_(&quot;$&quot;* #,##0.00_);_(&quot;$&quot;* \(#,##0.00\);_(&quot;$&quot;* &quot;-&quot;?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MS Sans Serif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indexed="22"/>
        <bgColor theme="0" tint="-0.249977111117893"/>
      </patternFill>
    </fill>
    <fill>
      <patternFill patternType="mediumGray">
        <fgColor indexed="22"/>
        <bgColor indexed="22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66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66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67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66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0" fontId="33" fillId="0" borderId="0" xfId="0" applyFont="1"/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44" fontId="33" fillId="0" borderId="20" xfId="47" applyNumberFormat="1" applyFont="1" applyFill="1" applyBorder="1" applyAlignment="1"/>
    <xf numFmtId="44" fontId="33" fillId="0" borderId="0" xfId="47" applyNumberFormat="1" applyFont="1" applyFill="1" applyBorder="1" applyAlignment="1"/>
    <xf numFmtId="0" fontId="36" fillId="0" borderId="0" xfId="0" applyFont="1" applyFill="1"/>
    <xf numFmtId="15" fontId="33" fillId="0" borderId="0" xfId="0" applyNumberFormat="1" applyFont="1" applyFill="1" applyAlignment="1">
      <alignment horizontal="right"/>
    </xf>
    <xf numFmtId="14" fontId="36" fillId="0" borderId="0" xfId="0" applyNumberFormat="1" applyFont="1"/>
    <xf numFmtId="0" fontId="36" fillId="0" borderId="0" xfId="0" applyFont="1"/>
    <xf numFmtId="0" fontId="35" fillId="0" borderId="0" xfId="0" applyFont="1" applyAlignment="1">
      <alignment horizontal="left"/>
    </xf>
    <xf numFmtId="10" fontId="33" fillId="0" borderId="0" xfId="0" applyNumberFormat="1" applyFont="1" applyAlignment="1">
      <alignment horizontal="right"/>
    </xf>
    <xf numFmtId="0" fontId="36" fillId="0" borderId="0" xfId="0" applyFont="1" applyAlignment="1">
      <alignment horizontal="center"/>
    </xf>
    <xf numFmtId="15" fontId="33" fillId="0" borderId="0" xfId="0" applyNumberFormat="1" applyFont="1" applyFill="1" applyAlignment="1"/>
    <xf numFmtId="0" fontId="0" fillId="0" borderId="0" xfId="0" applyFill="1" applyAlignment="1"/>
    <xf numFmtId="15" fontId="33" fillId="0" borderId="0" xfId="0" applyNumberFormat="1" applyFont="1" applyFill="1"/>
    <xf numFmtId="0" fontId="33" fillId="0" borderId="0" xfId="0" applyFont="1" applyAlignment="1">
      <alignment horizontal="right"/>
    </xf>
    <xf numFmtId="10" fontId="33" fillId="0" borderId="0" xfId="48" applyNumberFormat="1" applyFont="1" applyFill="1"/>
    <xf numFmtId="167" fontId="35" fillId="0" borderId="0" xfId="48" applyNumberFormat="1" applyFont="1" applyAlignment="1">
      <alignment horizontal="left"/>
    </xf>
    <xf numFmtId="167" fontId="35" fillId="0" borderId="0" xfId="48" applyNumberFormat="1" applyFont="1" applyAlignment="1">
      <alignment horizontal="center"/>
    </xf>
    <xf numFmtId="10" fontId="33" fillId="0" borderId="19" xfId="48" applyNumberFormat="1" applyFont="1" applyFill="1" applyBorder="1"/>
    <xf numFmtId="0" fontId="36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10" fontId="34" fillId="0" borderId="0" xfId="48" applyNumberFormat="1" applyFont="1"/>
    <xf numFmtId="44" fontId="36" fillId="0" borderId="0" xfId="47" applyFont="1" applyFill="1" applyBorder="1" applyAlignment="1"/>
    <xf numFmtId="170" fontId="36" fillId="0" borderId="0" xfId="0" applyNumberFormat="1" applyFont="1"/>
    <xf numFmtId="0" fontId="34" fillId="37" borderId="21" xfId="0" applyFont="1" applyFill="1" applyBorder="1" applyAlignment="1">
      <alignment horizontal="center"/>
    </xf>
    <xf numFmtId="0" fontId="34" fillId="37" borderId="22" xfId="0" applyFont="1" applyFill="1" applyBorder="1" applyAlignment="1">
      <alignment horizontal="center" wrapText="1"/>
    </xf>
    <xf numFmtId="0" fontId="34" fillId="38" borderId="22" xfId="0" applyFont="1" applyFill="1" applyBorder="1" applyAlignment="1">
      <alignment horizontal="center" wrapText="1"/>
    </xf>
    <xf numFmtId="170" fontId="37" fillId="0" borderId="0" xfId="1" applyNumberFormat="1" applyFont="1" applyAlignment="1">
      <alignment horizontal="center"/>
    </xf>
    <xf numFmtId="170" fontId="37" fillId="0" borderId="0" xfId="0" applyNumberFormat="1" applyFont="1" applyAlignment="1">
      <alignment horizontal="center"/>
    </xf>
    <xf numFmtId="4" fontId="37" fillId="0" borderId="0" xfId="1" applyNumberFormat="1" applyFont="1" applyFill="1" applyAlignment="1">
      <alignment horizontal="center"/>
    </xf>
    <xf numFmtId="4" fontId="37" fillId="0" borderId="0" xfId="1" applyNumberFormat="1" applyFont="1" applyAlignment="1">
      <alignment horizontal="center"/>
    </xf>
    <xf numFmtId="4" fontId="38" fillId="0" borderId="0" xfId="47" applyNumberFormat="1" applyFont="1" applyAlignment="1">
      <alignment horizontal="center"/>
    </xf>
    <xf numFmtId="170" fontId="33" fillId="0" borderId="0" xfId="0" applyNumberFormat="1" applyFont="1"/>
    <xf numFmtId="170" fontId="34" fillId="0" borderId="0" xfId="0" applyNumberFormat="1" applyFont="1" applyAlignment="1">
      <alignment horizontal="right"/>
    </xf>
    <xf numFmtId="44" fontId="34" fillId="0" borderId="0" xfId="47" applyFont="1"/>
    <xf numFmtId="171" fontId="36" fillId="0" borderId="0" xfId="0" applyNumberFormat="1" applyFont="1"/>
    <xf numFmtId="43" fontId="37" fillId="0" borderId="0" xfId="1" applyNumberFormat="1" applyFont="1" applyFill="1" applyAlignment="1">
      <alignment horizontal="center"/>
    </xf>
    <xf numFmtId="43" fontId="37" fillId="0" borderId="0" xfId="1" applyFont="1" applyAlignment="1">
      <alignment horizontal="center"/>
    </xf>
    <xf numFmtId="7" fontId="38" fillId="0" borderId="0" xfId="47" applyNumberFormat="1" applyFont="1" applyAlignment="1">
      <alignment horizontal="center"/>
    </xf>
    <xf numFmtId="0" fontId="38" fillId="0" borderId="0" xfId="47" applyNumberFormat="1" applyFont="1" applyAlignment="1">
      <alignment horizontal="center"/>
    </xf>
    <xf numFmtId="166" fontId="37" fillId="0" borderId="0" xfId="0" applyNumberFormat="1" applyFont="1" applyAlignment="1">
      <alignment horizontal="center"/>
    </xf>
    <xf numFmtId="43" fontId="37" fillId="0" borderId="0" xfId="0" applyNumberFormat="1" applyFont="1" applyAlignment="1">
      <alignment horizontal="right"/>
    </xf>
    <xf numFmtId="7" fontId="37" fillId="0" borderId="0" xfId="47" applyNumberFormat="1" applyFont="1" applyAlignment="1">
      <alignment horizontal="center"/>
    </xf>
    <xf numFmtId="0" fontId="37" fillId="0" borderId="0" xfId="47" applyNumberFormat="1" applyFont="1" applyAlignment="1">
      <alignment horizontal="center"/>
    </xf>
    <xf numFmtId="4" fontId="37" fillId="0" borderId="0" xfId="47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40" fontId="19" fillId="39" borderId="0" xfId="0" applyNumberFormat="1" applyFont="1" applyFill="1" applyAlignment="1">
      <alignment horizontal="right"/>
    </xf>
    <xf numFmtId="0" fontId="40" fillId="0" borderId="20" xfId="0" applyFont="1" applyBorder="1"/>
    <xf numFmtId="0" fontId="16" fillId="0" borderId="2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1" fillId="0" borderId="20" xfId="0" applyFont="1" applyBorder="1"/>
    <xf numFmtId="0" fontId="0" fillId="0" borderId="20" xfId="0" applyBorder="1"/>
    <xf numFmtId="44" fontId="0" fillId="0" borderId="20" xfId="0" applyNumberFormat="1" applyBorder="1"/>
    <xf numFmtId="49" fontId="0" fillId="0" borderId="20" xfId="0" applyNumberFormat="1" applyBorder="1"/>
    <xf numFmtId="168" fontId="0" fillId="0" borderId="20" xfId="0" applyNumberFormat="1" applyBorder="1"/>
    <xf numFmtId="0" fontId="40" fillId="0" borderId="20" xfId="0" applyFont="1" applyBorder="1" applyAlignment="1">
      <alignment wrapText="1"/>
    </xf>
    <xf numFmtId="0" fontId="40" fillId="0" borderId="20" xfId="0" applyFont="1" applyBorder="1" applyAlignment="1">
      <alignment horizontal="center"/>
    </xf>
    <xf numFmtId="44" fontId="40" fillId="0" borderId="20" xfId="0" applyNumberFormat="1" applyFont="1" applyBorder="1" applyAlignment="1">
      <alignment wrapText="1"/>
    </xf>
    <xf numFmtId="44" fontId="40" fillId="0" borderId="20" xfId="0" applyNumberFormat="1" applyFont="1" applyBorder="1" applyAlignment="1">
      <alignment horizontal="center"/>
    </xf>
    <xf numFmtId="49" fontId="40" fillId="0" borderId="20" xfId="0" applyNumberFormat="1" applyFont="1" applyBorder="1" applyAlignment="1">
      <alignment horizontal="center"/>
    </xf>
    <xf numFmtId="168" fontId="40" fillId="0" borderId="20" xfId="0" applyNumberFormat="1" applyFont="1" applyBorder="1" applyAlignment="1">
      <alignment horizontal="center"/>
    </xf>
    <xf numFmtId="0" fontId="42" fillId="0" borderId="0" xfId="0" applyFont="1"/>
    <xf numFmtId="40" fontId="16" fillId="0" borderId="0" xfId="0" applyNumberFormat="1" applyFont="1"/>
    <xf numFmtId="10" fontId="16" fillId="40" borderId="23" xfId="0" applyNumberFormat="1" applyFont="1" applyFill="1" applyBorder="1"/>
    <xf numFmtId="40" fontId="16" fillId="40" borderId="23" xfId="0" applyNumberFormat="1" applyFont="1" applyFill="1" applyBorder="1"/>
    <xf numFmtId="0" fontId="16" fillId="40" borderId="23" xfId="0" applyFont="1" applyFill="1" applyBorder="1" applyAlignment="1">
      <alignment horizontal="left"/>
    </xf>
    <xf numFmtId="10" fontId="0" fillId="36" borderId="0" xfId="0" applyNumberFormat="1" applyFill="1"/>
    <xf numFmtId="40" fontId="0" fillId="36" borderId="0" xfId="0" applyNumberFormat="1" applyFill="1"/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40" fontId="44" fillId="0" borderId="0" xfId="0" applyNumberFormat="1" applyFont="1" applyFill="1" applyAlignment="1">
      <alignment horizontal="center"/>
    </xf>
    <xf numFmtId="0" fontId="43" fillId="41" borderId="0" xfId="0" applyFont="1" applyFill="1" applyAlignment="1">
      <alignment horizontal="center" vertical="center"/>
    </xf>
    <xf numFmtId="0" fontId="34" fillId="36" borderId="0" xfId="0" applyFont="1" applyFill="1" applyAlignment="1">
      <alignment horizontal="center"/>
    </xf>
    <xf numFmtId="17" fontId="34" fillId="37" borderId="22" xfId="0" applyNumberFormat="1" applyFont="1" applyFill="1" applyBorder="1" applyAlignment="1">
      <alignment horizontal="center"/>
    </xf>
    <xf numFmtId="0" fontId="29" fillId="0" borderId="0" xfId="44" applyFont="1" applyAlignment="1">
      <alignment horizontal="center" vertical="center"/>
    </xf>
    <xf numFmtId="10" fontId="32" fillId="0" borderId="0" xfId="48" applyNumberFormat="1" applyFont="1" applyAlignment="1">
      <alignment horizontal="center"/>
    </xf>
    <xf numFmtId="10" fontId="39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233" t="s">
        <v>164</v>
      </c>
      <c r="B1" s="233"/>
      <c r="C1" s="233"/>
      <c r="D1" s="233"/>
      <c r="E1" s="233"/>
      <c r="F1" s="233"/>
      <c r="G1" s="233"/>
    </row>
    <row r="2" spans="1:9" ht="15.75" x14ac:dyDescent="0.25">
      <c r="A2" s="234" t="s">
        <v>197</v>
      </c>
      <c r="B2" s="234"/>
      <c r="C2" s="234"/>
      <c r="D2" s="234"/>
      <c r="E2" s="234"/>
      <c r="F2" s="234"/>
      <c r="G2" s="234"/>
    </row>
    <row r="3" spans="1:9" x14ac:dyDescent="0.25">
      <c r="A3" s="233"/>
      <c r="B3" s="233"/>
      <c r="C3" s="233"/>
      <c r="D3" s="233"/>
      <c r="E3" s="233"/>
      <c r="F3" s="233"/>
      <c r="G3" s="233"/>
    </row>
    <row r="4" spans="1:9" x14ac:dyDescent="0.25">
      <c r="A4" s="233"/>
      <c r="B4" s="233"/>
      <c r="C4" s="233"/>
      <c r="D4" s="233"/>
      <c r="E4" s="233"/>
      <c r="F4" s="233"/>
      <c r="G4" s="233"/>
    </row>
    <row r="5" spans="1:9" s="11" customFormat="1" ht="21.75" thickBot="1" x14ac:dyDescent="0.3">
      <c r="A5" s="10"/>
      <c r="B5" s="10"/>
      <c r="C5" s="10" t="s">
        <v>199</v>
      </c>
      <c r="D5" s="10" t="s">
        <v>198</v>
      </c>
      <c r="E5" s="10"/>
      <c r="F5" s="10" t="s">
        <v>200</v>
      </c>
      <c r="G5" s="10" t="s">
        <v>201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Projected'!$A$10:$P$205,3,FALSE),)</f>
        <v>1305992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Projected'!$A$10:$P$205,3,FALSE),)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Projected'!$A$9:$B$205,2,FALSE)</f>
        <v> REIMB. - UTILITIES</v>
      </c>
      <c r="C15" s="9"/>
      <c r="D15" s="9"/>
      <c r="E15" s="9"/>
      <c r="F15" s="4">
        <f>_xlfn.IFNA(VLOOKUP(A15,'2017 Projected'!$A$10:$P$205,3,FALSE),)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Projected'!$A$10:$P$205,3,FALSE),)</f>
        <v>192652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Projected'!$A$10:$P$205,3,FALSE),)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Projected'!$A$10:$P$205,3,FALSE),)</f>
        <v>297023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Projected'!$A$9:$B$205,2,FALSE)</f>
        <v> CAM RECOVERY</v>
      </c>
      <c r="C19" s="4"/>
      <c r="D19" s="4"/>
      <c r="E19" s="4"/>
      <c r="F19" s="4">
        <f>_xlfn.IFNA(VLOOKUP(A19,'2017 Projected'!$A$10:$P$205,3,FALSE),)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Projected'!$A$9:$B$205,2,FALSE)</f>
        <v> INSURANCE RECOVERY</v>
      </c>
      <c r="C20" s="4"/>
      <c r="D20" s="4"/>
      <c r="E20" s="4"/>
      <c r="F20" s="4">
        <f>_xlfn.IFNA(VLOOKUP(A20,'2017 Projected'!$A$10:$P$205,3,FALSE),)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Projected'!$A$9:$B$205,2,FALSE)</f>
        <v> TAX RECOVERY</v>
      </c>
      <c r="C21" s="4"/>
      <c r="D21" s="4"/>
      <c r="E21" s="4"/>
      <c r="F21" s="4">
        <f>_xlfn.IFNA(VLOOKUP(A21,'2017 Projected'!$A$10:$P$205,3,FALSE),)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Projected'!$A$10:$P$205,3,FALSE),)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Projected'!$A$10:$P$205,3,FALSE),)</f>
        <v>489675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196</v>
      </c>
      <c r="B28" s="5" t="s">
        <v>195</v>
      </c>
      <c r="C28" s="4"/>
      <c r="D28" s="4">
        <v>240.75</v>
      </c>
      <c r="E28" s="4"/>
      <c r="F28" s="4">
        <f>_xlfn.IFNA(VLOOKUP(A28,'2017 Projected'!$A$10:$P$205,3,FALSE),)</f>
        <v>14931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Projected'!$A$10:$P$205,3,FALSE),)</f>
        <v>23347</v>
      </c>
      <c r="G29" s="4">
        <v>0</v>
      </c>
      <c r="I29" s="1"/>
    </row>
    <row r="30" spans="1:9" x14ac:dyDescent="0.25">
      <c r="A30" s="1" t="s">
        <v>194</v>
      </c>
      <c r="B30" s="5" t="s">
        <v>193</v>
      </c>
      <c r="C30" s="4"/>
      <c r="D30" s="4">
        <v>22.61</v>
      </c>
      <c r="E30" s="4"/>
      <c r="F30" s="4">
        <f>_xlfn.IFNA(VLOOKUP(A30,'2017 Projected'!$A$10:$P$205,3,FALSE),)</f>
        <v>1218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Projected'!$A$10:$P$205,3,FALSE),)</f>
        <v>38600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Projected'!$A$10:$P$205,3,FALSE),)</f>
        <v>13518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Projected'!$A$10:$P$205,3,FALSE),)</f>
        <v>28400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Projected'!$A$10:$P$205,3,FALSE),)</f>
        <v>250</v>
      </c>
      <c r="G40" s="4">
        <v>0</v>
      </c>
      <c r="I40" s="1"/>
    </row>
    <row r="41" spans="1:9" x14ac:dyDescent="0.25">
      <c r="A41" s="1" t="s">
        <v>192</v>
      </c>
      <c r="B41" s="5" t="s">
        <v>191</v>
      </c>
      <c r="C41" s="4"/>
      <c r="D41" s="4">
        <v>-251.33</v>
      </c>
      <c r="E41" s="4"/>
      <c r="F41" s="4">
        <f>_xlfn.IFNA(VLOOKUP(A41,'2017 Projected'!$A$10:$P$205,3,FALSE),)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Projected'!$A$10:$P$205,3,FALSE),)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Projected'!$A$10:$P$205,3,FALSE),)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Projected'!$A$10:$P$205,3,FALSE),)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Projected'!$A$10:$P$205,3,FALSE),)</f>
        <v>1827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Projected'!$A$10:$P$205,3,FALSE),)</f>
        <v>7200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Projected'!$A$10:$P$205,3,FALSE),)</f>
        <v>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Projected'!$A$10:$P$205,3,FALSE),)</f>
        <v>1932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Projected'!$A$10:$P$205,3,FALSE),)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Projected'!$A$10:$P$205,3,FALSE),)</f>
        <v>0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Projected'!$A$10:$P$205,3,FALSE),)</f>
        <v>346740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Projected'!$A$10:$P$205,3,FALSE),)</f>
        <v>-325900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Projected'!$A$10:$P$205,3,FALSE),)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Projected'!$A$10:$P$205,3,FALSE),)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Projected'!$A$10:$P$205,3,FALSE),)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Projected'!$A$10:$P$205,3,FALSE),)</f>
        <v>0</v>
      </c>
      <c r="G87" s="4">
        <v>0</v>
      </c>
      <c r="I87" s="1"/>
    </row>
    <row r="88" spans="1:9" ht="15.75" thickBot="1" x14ac:dyDescent="0.3">
      <c r="A88" s="1" t="s">
        <v>190</v>
      </c>
      <c r="B88" s="5" t="s">
        <v>189</v>
      </c>
      <c r="C88" s="4"/>
      <c r="D88" s="4">
        <v>6710</v>
      </c>
      <c r="E88" s="4"/>
      <c r="F88" s="4">
        <f>_xlfn.IFNA(VLOOKUP(A88,'2017 Projected'!$A$10:$P$205,3,FALSE),)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160</v>
      </c>
      <c r="B93" s="5" t="s">
        <v>161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162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163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232"/>
      <c r="B98" s="232"/>
      <c r="C98" s="232"/>
      <c r="D98" s="232"/>
      <c r="E98" s="232"/>
      <c r="F98" s="232"/>
      <c r="G98" s="232"/>
      <c r="I98" s="1"/>
    </row>
    <row r="99" spans="1:9" x14ac:dyDescent="0.25">
      <c r="A99" s="1"/>
      <c r="B99" s="3" t="s">
        <v>188</v>
      </c>
      <c r="C99" s="3"/>
      <c r="D99" s="6" t="s">
        <v>186</v>
      </c>
      <c r="E99" s="6"/>
      <c r="F99" s="6" t="s">
        <v>165</v>
      </c>
      <c r="G99" s="1"/>
      <c r="I99" s="1"/>
    </row>
    <row r="100" spans="1:9" x14ac:dyDescent="0.25">
      <c r="A100" s="1" t="s">
        <v>184</v>
      </c>
      <c r="B100" s="5" t="s">
        <v>183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182</v>
      </c>
      <c r="B101" s="5" t="s">
        <v>181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180</v>
      </c>
      <c r="B102" s="5" t="s">
        <v>179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178</v>
      </c>
      <c r="B103" s="5" t="s">
        <v>177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176</v>
      </c>
      <c r="B104" s="5" t="s">
        <v>175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166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232"/>
      <c r="B106" s="232"/>
      <c r="C106" s="232"/>
      <c r="D106" s="232"/>
      <c r="E106" s="232"/>
      <c r="F106" s="232"/>
      <c r="G106" s="232"/>
      <c r="I106" s="1"/>
    </row>
    <row r="107" spans="1:9" x14ac:dyDescent="0.25">
      <c r="A107" s="1"/>
      <c r="B107" s="3" t="s">
        <v>187</v>
      </c>
      <c r="C107" s="3"/>
      <c r="D107" s="6" t="s">
        <v>186</v>
      </c>
      <c r="E107" s="6"/>
      <c r="F107" s="6" t="s">
        <v>165</v>
      </c>
      <c r="G107" s="1"/>
      <c r="I107" s="1"/>
    </row>
    <row r="108" spans="1:9" x14ac:dyDescent="0.25">
      <c r="A108" s="1" t="s">
        <v>184</v>
      </c>
      <c r="B108" s="5" t="s">
        <v>183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182</v>
      </c>
      <c r="B109" s="5" t="s">
        <v>181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180</v>
      </c>
      <c r="B110" s="5" t="s">
        <v>179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178</v>
      </c>
      <c r="B111" s="5" t="s">
        <v>177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176</v>
      </c>
      <c r="B112" s="5" t="s">
        <v>175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166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ySplit="15" topLeftCell="A49" activePane="bottomLeft" state="frozen"/>
      <selection pane="bottomLeft" activeCell="E57" sqref="E57:E68"/>
    </sheetView>
  </sheetViews>
  <sheetFormatPr defaultRowHeight="15" x14ac:dyDescent="0.25"/>
  <cols>
    <col min="1" max="1" width="28.28515625" customWidth="1"/>
    <col min="2" max="2" width="16.42578125" customWidth="1"/>
    <col min="3" max="3" width="12.7109375" customWidth="1"/>
    <col min="4" max="4" width="17.140625" customWidth="1"/>
    <col min="5" max="5" width="22.85546875" bestFit="1" customWidth="1"/>
    <col min="6" max="6" width="18" customWidth="1"/>
    <col min="7" max="7" width="12.85546875" style="128" customWidth="1"/>
    <col min="8" max="8" width="16.28515625" customWidth="1"/>
    <col min="9" max="9" width="18.7109375" customWidth="1"/>
    <col min="10" max="10" width="14.140625" bestFit="1" customWidth="1"/>
    <col min="257" max="257" width="28.28515625" customWidth="1"/>
    <col min="258" max="258" width="16.42578125" customWidth="1"/>
    <col min="259" max="259" width="12.7109375" customWidth="1"/>
    <col min="260" max="260" width="17.140625" customWidth="1"/>
    <col min="261" max="261" width="17.28515625" customWidth="1"/>
    <col min="262" max="262" width="18" customWidth="1"/>
    <col min="263" max="263" width="12.85546875" customWidth="1"/>
    <col min="264" max="264" width="16.28515625" customWidth="1"/>
    <col min="265" max="265" width="18.7109375" customWidth="1"/>
    <col min="266" max="266" width="14.140625" bestFit="1" customWidth="1"/>
    <col min="513" max="513" width="28.28515625" customWidth="1"/>
    <col min="514" max="514" width="16.42578125" customWidth="1"/>
    <col min="515" max="515" width="12.7109375" customWidth="1"/>
    <col min="516" max="516" width="17.140625" customWidth="1"/>
    <col min="517" max="517" width="17.28515625" customWidth="1"/>
    <col min="518" max="518" width="18" customWidth="1"/>
    <col min="519" max="519" width="12.85546875" customWidth="1"/>
    <col min="520" max="520" width="16.28515625" customWidth="1"/>
    <col min="521" max="521" width="18.7109375" customWidth="1"/>
    <col min="522" max="522" width="14.140625" bestFit="1" customWidth="1"/>
    <col min="769" max="769" width="28.28515625" customWidth="1"/>
    <col min="770" max="770" width="16.42578125" customWidth="1"/>
    <col min="771" max="771" width="12.7109375" customWidth="1"/>
    <col min="772" max="772" width="17.140625" customWidth="1"/>
    <col min="773" max="773" width="17.28515625" customWidth="1"/>
    <col min="774" max="774" width="18" customWidth="1"/>
    <col min="775" max="775" width="12.85546875" customWidth="1"/>
    <col min="776" max="776" width="16.28515625" customWidth="1"/>
    <col min="777" max="777" width="18.7109375" customWidth="1"/>
    <col min="778" max="778" width="14.140625" bestFit="1" customWidth="1"/>
    <col min="1025" max="1025" width="28.28515625" customWidth="1"/>
    <col min="1026" max="1026" width="16.42578125" customWidth="1"/>
    <col min="1027" max="1027" width="12.7109375" customWidth="1"/>
    <col min="1028" max="1028" width="17.140625" customWidth="1"/>
    <col min="1029" max="1029" width="17.28515625" customWidth="1"/>
    <col min="1030" max="1030" width="18" customWidth="1"/>
    <col min="1031" max="1031" width="12.85546875" customWidth="1"/>
    <col min="1032" max="1032" width="16.28515625" customWidth="1"/>
    <col min="1033" max="1033" width="18.7109375" customWidth="1"/>
    <col min="1034" max="1034" width="14.140625" bestFit="1" customWidth="1"/>
    <col min="1281" max="1281" width="28.28515625" customWidth="1"/>
    <col min="1282" max="1282" width="16.42578125" customWidth="1"/>
    <col min="1283" max="1283" width="12.7109375" customWidth="1"/>
    <col min="1284" max="1284" width="17.140625" customWidth="1"/>
    <col min="1285" max="1285" width="17.28515625" customWidth="1"/>
    <col min="1286" max="1286" width="18" customWidth="1"/>
    <col min="1287" max="1287" width="12.85546875" customWidth="1"/>
    <col min="1288" max="1288" width="16.28515625" customWidth="1"/>
    <col min="1289" max="1289" width="18.7109375" customWidth="1"/>
    <col min="1290" max="1290" width="14.140625" bestFit="1" customWidth="1"/>
    <col min="1537" max="1537" width="28.28515625" customWidth="1"/>
    <col min="1538" max="1538" width="16.42578125" customWidth="1"/>
    <col min="1539" max="1539" width="12.7109375" customWidth="1"/>
    <col min="1540" max="1540" width="17.140625" customWidth="1"/>
    <col min="1541" max="1541" width="17.28515625" customWidth="1"/>
    <col min="1542" max="1542" width="18" customWidth="1"/>
    <col min="1543" max="1543" width="12.85546875" customWidth="1"/>
    <col min="1544" max="1544" width="16.28515625" customWidth="1"/>
    <col min="1545" max="1545" width="18.7109375" customWidth="1"/>
    <col min="1546" max="1546" width="14.140625" bestFit="1" customWidth="1"/>
    <col min="1793" max="1793" width="28.28515625" customWidth="1"/>
    <col min="1794" max="1794" width="16.42578125" customWidth="1"/>
    <col min="1795" max="1795" width="12.7109375" customWidth="1"/>
    <col min="1796" max="1796" width="17.140625" customWidth="1"/>
    <col min="1797" max="1797" width="17.28515625" customWidth="1"/>
    <col min="1798" max="1798" width="18" customWidth="1"/>
    <col min="1799" max="1799" width="12.85546875" customWidth="1"/>
    <col min="1800" max="1800" width="16.28515625" customWidth="1"/>
    <col min="1801" max="1801" width="18.7109375" customWidth="1"/>
    <col min="1802" max="1802" width="14.140625" bestFit="1" customWidth="1"/>
    <col min="2049" max="2049" width="28.28515625" customWidth="1"/>
    <col min="2050" max="2050" width="16.42578125" customWidth="1"/>
    <col min="2051" max="2051" width="12.7109375" customWidth="1"/>
    <col min="2052" max="2052" width="17.140625" customWidth="1"/>
    <col min="2053" max="2053" width="17.28515625" customWidth="1"/>
    <col min="2054" max="2054" width="18" customWidth="1"/>
    <col min="2055" max="2055" width="12.85546875" customWidth="1"/>
    <col min="2056" max="2056" width="16.28515625" customWidth="1"/>
    <col min="2057" max="2057" width="18.7109375" customWidth="1"/>
    <col min="2058" max="2058" width="14.140625" bestFit="1" customWidth="1"/>
    <col min="2305" max="2305" width="28.28515625" customWidth="1"/>
    <col min="2306" max="2306" width="16.42578125" customWidth="1"/>
    <col min="2307" max="2307" width="12.7109375" customWidth="1"/>
    <col min="2308" max="2308" width="17.140625" customWidth="1"/>
    <col min="2309" max="2309" width="17.28515625" customWidth="1"/>
    <col min="2310" max="2310" width="18" customWidth="1"/>
    <col min="2311" max="2311" width="12.85546875" customWidth="1"/>
    <col min="2312" max="2312" width="16.28515625" customWidth="1"/>
    <col min="2313" max="2313" width="18.7109375" customWidth="1"/>
    <col min="2314" max="2314" width="14.140625" bestFit="1" customWidth="1"/>
    <col min="2561" max="2561" width="28.28515625" customWidth="1"/>
    <col min="2562" max="2562" width="16.42578125" customWidth="1"/>
    <col min="2563" max="2563" width="12.7109375" customWidth="1"/>
    <col min="2564" max="2564" width="17.140625" customWidth="1"/>
    <col min="2565" max="2565" width="17.28515625" customWidth="1"/>
    <col min="2566" max="2566" width="18" customWidth="1"/>
    <col min="2567" max="2567" width="12.85546875" customWidth="1"/>
    <col min="2568" max="2568" width="16.28515625" customWidth="1"/>
    <col min="2569" max="2569" width="18.7109375" customWidth="1"/>
    <col min="2570" max="2570" width="14.140625" bestFit="1" customWidth="1"/>
    <col min="2817" max="2817" width="28.28515625" customWidth="1"/>
    <col min="2818" max="2818" width="16.42578125" customWidth="1"/>
    <col min="2819" max="2819" width="12.7109375" customWidth="1"/>
    <col min="2820" max="2820" width="17.140625" customWidth="1"/>
    <col min="2821" max="2821" width="17.28515625" customWidth="1"/>
    <col min="2822" max="2822" width="18" customWidth="1"/>
    <col min="2823" max="2823" width="12.85546875" customWidth="1"/>
    <col min="2824" max="2824" width="16.28515625" customWidth="1"/>
    <col min="2825" max="2825" width="18.7109375" customWidth="1"/>
    <col min="2826" max="2826" width="14.140625" bestFit="1" customWidth="1"/>
    <col min="3073" max="3073" width="28.28515625" customWidth="1"/>
    <col min="3074" max="3074" width="16.42578125" customWidth="1"/>
    <col min="3075" max="3075" width="12.7109375" customWidth="1"/>
    <col min="3076" max="3076" width="17.140625" customWidth="1"/>
    <col min="3077" max="3077" width="17.28515625" customWidth="1"/>
    <col min="3078" max="3078" width="18" customWidth="1"/>
    <col min="3079" max="3079" width="12.85546875" customWidth="1"/>
    <col min="3080" max="3080" width="16.28515625" customWidth="1"/>
    <col min="3081" max="3081" width="18.7109375" customWidth="1"/>
    <col min="3082" max="3082" width="14.140625" bestFit="1" customWidth="1"/>
    <col min="3329" max="3329" width="28.28515625" customWidth="1"/>
    <col min="3330" max="3330" width="16.42578125" customWidth="1"/>
    <col min="3331" max="3331" width="12.7109375" customWidth="1"/>
    <col min="3332" max="3332" width="17.140625" customWidth="1"/>
    <col min="3333" max="3333" width="17.28515625" customWidth="1"/>
    <col min="3334" max="3334" width="18" customWidth="1"/>
    <col min="3335" max="3335" width="12.85546875" customWidth="1"/>
    <col min="3336" max="3336" width="16.28515625" customWidth="1"/>
    <col min="3337" max="3337" width="18.7109375" customWidth="1"/>
    <col min="3338" max="3338" width="14.140625" bestFit="1" customWidth="1"/>
    <col min="3585" max="3585" width="28.28515625" customWidth="1"/>
    <col min="3586" max="3586" width="16.42578125" customWidth="1"/>
    <col min="3587" max="3587" width="12.7109375" customWidth="1"/>
    <col min="3588" max="3588" width="17.140625" customWidth="1"/>
    <col min="3589" max="3589" width="17.28515625" customWidth="1"/>
    <col min="3590" max="3590" width="18" customWidth="1"/>
    <col min="3591" max="3591" width="12.85546875" customWidth="1"/>
    <col min="3592" max="3592" width="16.28515625" customWidth="1"/>
    <col min="3593" max="3593" width="18.7109375" customWidth="1"/>
    <col min="3594" max="3594" width="14.140625" bestFit="1" customWidth="1"/>
    <col min="3841" max="3841" width="28.28515625" customWidth="1"/>
    <col min="3842" max="3842" width="16.42578125" customWidth="1"/>
    <col min="3843" max="3843" width="12.7109375" customWidth="1"/>
    <col min="3844" max="3844" width="17.140625" customWidth="1"/>
    <col min="3845" max="3845" width="17.28515625" customWidth="1"/>
    <col min="3846" max="3846" width="18" customWidth="1"/>
    <col min="3847" max="3847" width="12.85546875" customWidth="1"/>
    <col min="3848" max="3848" width="16.28515625" customWidth="1"/>
    <col min="3849" max="3849" width="18.7109375" customWidth="1"/>
    <col min="3850" max="3850" width="14.140625" bestFit="1" customWidth="1"/>
    <col min="4097" max="4097" width="28.28515625" customWidth="1"/>
    <col min="4098" max="4098" width="16.42578125" customWidth="1"/>
    <col min="4099" max="4099" width="12.7109375" customWidth="1"/>
    <col min="4100" max="4100" width="17.140625" customWidth="1"/>
    <col min="4101" max="4101" width="17.28515625" customWidth="1"/>
    <col min="4102" max="4102" width="18" customWidth="1"/>
    <col min="4103" max="4103" width="12.85546875" customWidth="1"/>
    <col min="4104" max="4104" width="16.28515625" customWidth="1"/>
    <col min="4105" max="4105" width="18.7109375" customWidth="1"/>
    <col min="4106" max="4106" width="14.140625" bestFit="1" customWidth="1"/>
    <col min="4353" max="4353" width="28.28515625" customWidth="1"/>
    <col min="4354" max="4354" width="16.42578125" customWidth="1"/>
    <col min="4355" max="4355" width="12.7109375" customWidth="1"/>
    <col min="4356" max="4356" width="17.140625" customWidth="1"/>
    <col min="4357" max="4357" width="17.28515625" customWidth="1"/>
    <col min="4358" max="4358" width="18" customWidth="1"/>
    <col min="4359" max="4359" width="12.85546875" customWidth="1"/>
    <col min="4360" max="4360" width="16.28515625" customWidth="1"/>
    <col min="4361" max="4361" width="18.7109375" customWidth="1"/>
    <col min="4362" max="4362" width="14.140625" bestFit="1" customWidth="1"/>
    <col min="4609" max="4609" width="28.28515625" customWidth="1"/>
    <col min="4610" max="4610" width="16.42578125" customWidth="1"/>
    <col min="4611" max="4611" width="12.7109375" customWidth="1"/>
    <col min="4612" max="4612" width="17.140625" customWidth="1"/>
    <col min="4613" max="4613" width="17.28515625" customWidth="1"/>
    <col min="4614" max="4614" width="18" customWidth="1"/>
    <col min="4615" max="4615" width="12.85546875" customWidth="1"/>
    <col min="4616" max="4616" width="16.28515625" customWidth="1"/>
    <col min="4617" max="4617" width="18.7109375" customWidth="1"/>
    <col min="4618" max="4618" width="14.140625" bestFit="1" customWidth="1"/>
    <col min="4865" max="4865" width="28.28515625" customWidth="1"/>
    <col min="4866" max="4866" width="16.42578125" customWidth="1"/>
    <col min="4867" max="4867" width="12.7109375" customWidth="1"/>
    <col min="4868" max="4868" width="17.140625" customWidth="1"/>
    <col min="4869" max="4869" width="17.28515625" customWidth="1"/>
    <col min="4870" max="4870" width="18" customWidth="1"/>
    <col min="4871" max="4871" width="12.85546875" customWidth="1"/>
    <col min="4872" max="4872" width="16.28515625" customWidth="1"/>
    <col min="4873" max="4873" width="18.7109375" customWidth="1"/>
    <col min="4874" max="4874" width="14.140625" bestFit="1" customWidth="1"/>
    <col min="5121" max="5121" width="28.28515625" customWidth="1"/>
    <col min="5122" max="5122" width="16.42578125" customWidth="1"/>
    <col min="5123" max="5123" width="12.7109375" customWidth="1"/>
    <col min="5124" max="5124" width="17.140625" customWidth="1"/>
    <col min="5125" max="5125" width="17.28515625" customWidth="1"/>
    <col min="5126" max="5126" width="18" customWidth="1"/>
    <col min="5127" max="5127" width="12.85546875" customWidth="1"/>
    <col min="5128" max="5128" width="16.28515625" customWidth="1"/>
    <col min="5129" max="5129" width="18.7109375" customWidth="1"/>
    <col min="5130" max="5130" width="14.140625" bestFit="1" customWidth="1"/>
    <col min="5377" max="5377" width="28.28515625" customWidth="1"/>
    <col min="5378" max="5378" width="16.42578125" customWidth="1"/>
    <col min="5379" max="5379" width="12.7109375" customWidth="1"/>
    <col min="5380" max="5380" width="17.140625" customWidth="1"/>
    <col min="5381" max="5381" width="17.28515625" customWidth="1"/>
    <col min="5382" max="5382" width="18" customWidth="1"/>
    <col min="5383" max="5383" width="12.85546875" customWidth="1"/>
    <col min="5384" max="5384" width="16.28515625" customWidth="1"/>
    <col min="5385" max="5385" width="18.7109375" customWidth="1"/>
    <col min="5386" max="5386" width="14.140625" bestFit="1" customWidth="1"/>
    <col min="5633" max="5633" width="28.28515625" customWidth="1"/>
    <col min="5634" max="5634" width="16.42578125" customWidth="1"/>
    <col min="5635" max="5635" width="12.7109375" customWidth="1"/>
    <col min="5636" max="5636" width="17.140625" customWidth="1"/>
    <col min="5637" max="5637" width="17.28515625" customWidth="1"/>
    <col min="5638" max="5638" width="18" customWidth="1"/>
    <col min="5639" max="5639" width="12.85546875" customWidth="1"/>
    <col min="5640" max="5640" width="16.28515625" customWidth="1"/>
    <col min="5641" max="5641" width="18.7109375" customWidth="1"/>
    <col min="5642" max="5642" width="14.140625" bestFit="1" customWidth="1"/>
    <col min="5889" max="5889" width="28.28515625" customWidth="1"/>
    <col min="5890" max="5890" width="16.42578125" customWidth="1"/>
    <col min="5891" max="5891" width="12.7109375" customWidth="1"/>
    <col min="5892" max="5892" width="17.140625" customWidth="1"/>
    <col min="5893" max="5893" width="17.28515625" customWidth="1"/>
    <col min="5894" max="5894" width="18" customWidth="1"/>
    <col min="5895" max="5895" width="12.85546875" customWidth="1"/>
    <col min="5896" max="5896" width="16.28515625" customWidth="1"/>
    <col min="5897" max="5897" width="18.7109375" customWidth="1"/>
    <col min="5898" max="5898" width="14.140625" bestFit="1" customWidth="1"/>
    <col min="6145" max="6145" width="28.28515625" customWidth="1"/>
    <col min="6146" max="6146" width="16.42578125" customWidth="1"/>
    <col min="6147" max="6147" width="12.7109375" customWidth="1"/>
    <col min="6148" max="6148" width="17.140625" customWidth="1"/>
    <col min="6149" max="6149" width="17.28515625" customWidth="1"/>
    <col min="6150" max="6150" width="18" customWidth="1"/>
    <col min="6151" max="6151" width="12.85546875" customWidth="1"/>
    <col min="6152" max="6152" width="16.28515625" customWidth="1"/>
    <col min="6153" max="6153" width="18.7109375" customWidth="1"/>
    <col min="6154" max="6154" width="14.140625" bestFit="1" customWidth="1"/>
    <col min="6401" max="6401" width="28.28515625" customWidth="1"/>
    <col min="6402" max="6402" width="16.42578125" customWidth="1"/>
    <col min="6403" max="6403" width="12.7109375" customWidth="1"/>
    <col min="6404" max="6404" width="17.140625" customWidth="1"/>
    <col min="6405" max="6405" width="17.28515625" customWidth="1"/>
    <col min="6406" max="6406" width="18" customWidth="1"/>
    <col min="6407" max="6407" width="12.85546875" customWidth="1"/>
    <col min="6408" max="6408" width="16.28515625" customWidth="1"/>
    <col min="6409" max="6409" width="18.7109375" customWidth="1"/>
    <col min="6410" max="6410" width="14.140625" bestFit="1" customWidth="1"/>
    <col min="6657" max="6657" width="28.28515625" customWidth="1"/>
    <col min="6658" max="6658" width="16.42578125" customWidth="1"/>
    <col min="6659" max="6659" width="12.7109375" customWidth="1"/>
    <col min="6660" max="6660" width="17.140625" customWidth="1"/>
    <col min="6661" max="6661" width="17.28515625" customWidth="1"/>
    <col min="6662" max="6662" width="18" customWidth="1"/>
    <col min="6663" max="6663" width="12.85546875" customWidth="1"/>
    <col min="6664" max="6664" width="16.28515625" customWidth="1"/>
    <col min="6665" max="6665" width="18.7109375" customWidth="1"/>
    <col min="6666" max="6666" width="14.140625" bestFit="1" customWidth="1"/>
    <col min="6913" max="6913" width="28.28515625" customWidth="1"/>
    <col min="6914" max="6914" width="16.42578125" customWidth="1"/>
    <col min="6915" max="6915" width="12.7109375" customWidth="1"/>
    <col min="6916" max="6916" width="17.140625" customWidth="1"/>
    <col min="6917" max="6917" width="17.28515625" customWidth="1"/>
    <col min="6918" max="6918" width="18" customWidth="1"/>
    <col min="6919" max="6919" width="12.85546875" customWidth="1"/>
    <col min="6920" max="6920" width="16.28515625" customWidth="1"/>
    <col min="6921" max="6921" width="18.7109375" customWidth="1"/>
    <col min="6922" max="6922" width="14.140625" bestFit="1" customWidth="1"/>
    <col min="7169" max="7169" width="28.28515625" customWidth="1"/>
    <col min="7170" max="7170" width="16.42578125" customWidth="1"/>
    <col min="7171" max="7171" width="12.7109375" customWidth="1"/>
    <col min="7172" max="7172" width="17.140625" customWidth="1"/>
    <col min="7173" max="7173" width="17.28515625" customWidth="1"/>
    <col min="7174" max="7174" width="18" customWidth="1"/>
    <col min="7175" max="7175" width="12.85546875" customWidth="1"/>
    <col min="7176" max="7176" width="16.28515625" customWidth="1"/>
    <col min="7177" max="7177" width="18.7109375" customWidth="1"/>
    <col min="7178" max="7178" width="14.140625" bestFit="1" customWidth="1"/>
    <col min="7425" max="7425" width="28.28515625" customWidth="1"/>
    <col min="7426" max="7426" width="16.42578125" customWidth="1"/>
    <col min="7427" max="7427" width="12.7109375" customWidth="1"/>
    <col min="7428" max="7428" width="17.140625" customWidth="1"/>
    <col min="7429" max="7429" width="17.28515625" customWidth="1"/>
    <col min="7430" max="7430" width="18" customWidth="1"/>
    <col min="7431" max="7431" width="12.85546875" customWidth="1"/>
    <col min="7432" max="7432" width="16.28515625" customWidth="1"/>
    <col min="7433" max="7433" width="18.7109375" customWidth="1"/>
    <col min="7434" max="7434" width="14.140625" bestFit="1" customWidth="1"/>
    <col min="7681" max="7681" width="28.28515625" customWidth="1"/>
    <col min="7682" max="7682" width="16.42578125" customWidth="1"/>
    <col min="7683" max="7683" width="12.7109375" customWidth="1"/>
    <col min="7684" max="7684" width="17.140625" customWidth="1"/>
    <col min="7685" max="7685" width="17.28515625" customWidth="1"/>
    <col min="7686" max="7686" width="18" customWidth="1"/>
    <col min="7687" max="7687" width="12.85546875" customWidth="1"/>
    <col min="7688" max="7688" width="16.28515625" customWidth="1"/>
    <col min="7689" max="7689" width="18.7109375" customWidth="1"/>
    <col min="7690" max="7690" width="14.140625" bestFit="1" customWidth="1"/>
    <col min="7937" max="7937" width="28.28515625" customWidth="1"/>
    <col min="7938" max="7938" width="16.42578125" customWidth="1"/>
    <col min="7939" max="7939" width="12.7109375" customWidth="1"/>
    <col min="7940" max="7940" width="17.140625" customWidth="1"/>
    <col min="7941" max="7941" width="17.28515625" customWidth="1"/>
    <col min="7942" max="7942" width="18" customWidth="1"/>
    <col min="7943" max="7943" width="12.85546875" customWidth="1"/>
    <col min="7944" max="7944" width="16.28515625" customWidth="1"/>
    <col min="7945" max="7945" width="18.7109375" customWidth="1"/>
    <col min="7946" max="7946" width="14.140625" bestFit="1" customWidth="1"/>
    <col min="8193" max="8193" width="28.28515625" customWidth="1"/>
    <col min="8194" max="8194" width="16.42578125" customWidth="1"/>
    <col min="8195" max="8195" width="12.7109375" customWidth="1"/>
    <col min="8196" max="8196" width="17.140625" customWidth="1"/>
    <col min="8197" max="8197" width="17.28515625" customWidth="1"/>
    <col min="8198" max="8198" width="18" customWidth="1"/>
    <col min="8199" max="8199" width="12.85546875" customWidth="1"/>
    <col min="8200" max="8200" width="16.28515625" customWidth="1"/>
    <col min="8201" max="8201" width="18.7109375" customWidth="1"/>
    <col min="8202" max="8202" width="14.140625" bestFit="1" customWidth="1"/>
    <col min="8449" max="8449" width="28.28515625" customWidth="1"/>
    <col min="8450" max="8450" width="16.42578125" customWidth="1"/>
    <col min="8451" max="8451" width="12.7109375" customWidth="1"/>
    <col min="8452" max="8452" width="17.140625" customWidth="1"/>
    <col min="8453" max="8453" width="17.28515625" customWidth="1"/>
    <col min="8454" max="8454" width="18" customWidth="1"/>
    <col min="8455" max="8455" width="12.85546875" customWidth="1"/>
    <col min="8456" max="8456" width="16.28515625" customWidth="1"/>
    <col min="8457" max="8457" width="18.7109375" customWidth="1"/>
    <col min="8458" max="8458" width="14.140625" bestFit="1" customWidth="1"/>
    <col min="8705" max="8705" width="28.28515625" customWidth="1"/>
    <col min="8706" max="8706" width="16.42578125" customWidth="1"/>
    <col min="8707" max="8707" width="12.7109375" customWidth="1"/>
    <col min="8708" max="8708" width="17.140625" customWidth="1"/>
    <col min="8709" max="8709" width="17.28515625" customWidth="1"/>
    <col min="8710" max="8710" width="18" customWidth="1"/>
    <col min="8711" max="8711" width="12.85546875" customWidth="1"/>
    <col min="8712" max="8712" width="16.28515625" customWidth="1"/>
    <col min="8713" max="8713" width="18.7109375" customWidth="1"/>
    <col min="8714" max="8714" width="14.140625" bestFit="1" customWidth="1"/>
    <col min="8961" max="8961" width="28.28515625" customWidth="1"/>
    <col min="8962" max="8962" width="16.42578125" customWidth="1"/>
    <col min="8963" max="8963" width="12.7109375" customWidth="1"/>
    <col min="8964" max="8964" width="17.140625" customWidth="1"/>
    <col min="8965" max="8965" width="17.28515625" customWidth="1"/>
    <col min="8966" max="8966" width="18" customWidth="1"/>
    <col min="8967" max="8967" width="12.85546875" customWidth="1"/>
    <col min="8968" max="8968" width="16.28515625" customWidth="1"/>
    <col min="8969" max="8969" width="18.7109375" customWidth="1"/>
    <col min="8970" max="8970" width="14.140625" bestFit="1" customWidth="1"/>
    <col min="9217" max="9217" width="28.28515625" customWidth="1"/>
    <col min="9218" max="9218" width="16.42578125" customWidth="1"/>
    <col min="9219" max="9219" width="12.7109375" customWidth="1"/>
    <col min="9220" max="9220" width="17.140625" customWidth="1"/>
    <col min="9221" max="9221" width="17.28515625" customWidth="1"/>
    <col min="9222" max="9222" width="18" customWidth="1"/>
    <col min="9223" max="9223" width="12.85546875" customWidth="1"/>
    <col min="9224" max="9224" width="16.28515625" customWidth="1"/>
    <col min="9225" max="9225" width="18.7109375" customWidth="1"/>
    <col min="9226" max="9226" width="14.140625" bestFit="1" customWidth="1"/>
    <col min="9473" max="9473" width="28.28515625" customWidth="1"/>
    <col min="9474" max="9474" width="16.42578125" customWidth="1"/>
    <col min="9475" max="9475" width="12.7109375" customWidth="1"/>
    <col min="9476" max="9476" width="17.140625" customWidth="1"/>
    <col min="9477" max="9477" width="17.28515625" customWidth="1"/>
    <col min="9478" max="9478" width="18" customWidth="1"/>
    <col min="9479" max="9479" width="12.85546875" customWidth="1"/>
    <col min="9480" max="9480" width="16.28515625" customWidth="1"/>
    <col min="9481" max="9481" width="18.7109375" customWidth="1"/>
    <col min="9482" max="9482" width="14.140625" bestFit="1" customWidth="1"/>
    <col min="9729" max="9729" width="28.28515625" customWidth="1"/>
    <col min="9730" max="9730" width="16.42578125" customWidth="1"/>
    <col min="9731" max="9731" width="12.7109375" customWidth="1"/>
    <col min="9732" max="9732" width="17.140625" customWidth="1"/>
    <col min="9733" max="9733" width="17.28515625" customWidth="1"/>
    <col min="9734" max="9734" width="18" customWidth="1"/>
    <col min="9735" max="9735" width="12.85546875" customWidth="1"/>
    <col min="9736" max="9736" width="16.28515625" customWidth="1"/>
    <col min="9737" max="9737" width="18.7109375" customWidth="1"/>
    <col min="9738" max="9738" width="14.140625" bestFit="1" customWidth="1"/>
    <col min="9985" max="9985" width="28.28515625" customWidth="1"/>
    <col min="9986" max="9986" width="16.42578125" customWidth="1"/>
    <col min="9987" max="9987" width="12.7109375" customWidth="1"/>
    <col min="9988" max="9988" width="17.140625" customWidth="1"/>
    <col min="9989" max="9989" width="17.28515625" customWidth="1"/>
    <col min="9990" max="9990" width="18" customWidth="1"/>
    <col min="9991" max="9991" width="12.85546875" customWidth="1"/>
    <col min="9992" max="9992" width="16.28515625" customWidth="1"/>
    <col min="9993" max="9993" width="18.7109375" customWidth="1"/>
    <col min="9994" max="9994" width="14.140625" bestFit="1" customWidth="1"/>
    <col min="10241" max="10241" width="28.28515625" customWidth="1"/>
    <col min="10242" max="10242" width="16.42578125" customWidth="1"/>
    <col min="10243" max="10243" width="12.7109375" customWidth="1"/>
    <col min="10244" max="10244" width="17.140625" customWidth="1"/>
    <col min="10245" max="10245" width="17.28515625" customWidth="1"/>
    <col min="10246" max="10246" width="18" customWidth="1"/>
    <col min="10247" max="10247" width="12.85546875" customWidth="1"/>
    <col min="10248" max="10248" width="16.28515625" customWidth="1"/>
    <col min="10249" max="10249" width="18.7109375" customWidth="1"/>
    <col min="10250" max="10250" width="14.140625" bestFit="1" customWidth="1"/>
    <col min="10497" max="10497" width="28.28515625" customWidth="1"/>
    <col min="10498" max="10498" width="16.42578125" customWidth="1"/>
    <col min="10499" max="10499" width="12.7109375" customWidth="1"/>
    <col min="10500" max="10500" width="17.140625" customWidth="1"/>
    <col min="10501" max="10501" width="17.28515625" customWidth="1"/>
    <col min="10502" max="10502" width="18" customWidth="1"/>
    <col min="10503" max="10503" width="12.85546875" customWidth="1"/>
    <col min="10504" max="10504" width="16.28515625" customWidth="1"/>
    <col min="10505" max="10505" width="18.7109375" customWidth="1"/>
    <col min="10506" max="10506" width="14.140625" bestFit="1" customWidth="1"/>
    <col min="10753" max="10753" width="28.28515625" customWidth="1"/>
    <col min="10754" max="10754" width="16.42578125" customWidth="1"/>
    <col min="10755" max="10755" width="12.7109375" customWidth="1"/>
    <col min="10756" max="10756" width="17.140625" customWidth="1"/>
    <col min="10757" max="10757" width="17.28515625" customWidth="1"/>
    <col min="10758" max="10758" width="18" customWidth="1"/>
    <col min="10759" max="10759" width="12.85546875" customWidth="1"/>
    <col min="10760" max="10760" width="16.28515625" customWidth="1"/>
    <col min="10761" max="10761" width="18.7109375" customWidth="1"/>
    <col min="10762" max="10762" width="14.140625" bestFit="1" customWidth="1"/>
    <col min="11009" max="11009" width="28.28515625" customWidth="1"/>
    <col min="11010" max="11010" width="16.42578125" customWidth="1"/>
    <col min="11011" max="11011" width="12.7109375" customWidth="1"/>
    <col min="11012" max="11012" width="17.140625" customWidth="1"/>
    <col min="11013" max="11013" width="17.28515625" customWidth="1"/>
    <col min="11014" max="11014" width="18" customWidth="1"/>
    <col min="11015" max="11015" width="12.85546875" customWidth="1"/>
    <col min="11016" max="11016" width="16.28515625" customWidth="1"/>
    <col min="11017" max="11017" width="18.7109375" customWidth="1"/>
    <col min="11018" max="11018" width="14.140625" bestFit="1" customWidth="1"/>
    <col min="11265" max="11265" width="28.28515625" customWidth="1"/>
    <col min="11266" max="11266" width="16.42578125" customWidth="1"/>
    <col min="11267" max="11267" width="12.7109375" customWidth="1"/>
    <col min="11268" max="11268" width="17.140625" customWidth="1"/>
    <col min="11269" max="11269" width="17.28515625" customWidth="1"/>
    <col min="11270" max="11270" width="18" customWidth="1"/>
    <col min="11271" max="11271" width="12.85546875" customWidth="1"/>
    <col min="11272" max="11272" width="16.28515625" customWidth="1"/>
    <col min="11273" max="11273" width="18.7109375" customWidth="1"/>
    <col min="11274" max="11274" width="14.140625" bestFit="1" customWidth="1"/>
    <col min="11521" max="11521" width="28.28515625" customWidth="1"/>
    <col min="11522" max="11522" width="16.42578125" customWidth="1"/>
    <col min="11523" max="11523" width="12.7109375" customWidth="1"/>
    <col min="11524" max="11524" width="17.140625" customWidth="1"/>
    <col min="11525" max="11525" width="17.28515625" customWidth="1"/>
    <col min="11526" max="11526" width="18" customWidth="1"/>
    <col min="11527" max="11527" width="12.85546875" customWidth="1"/>
    <col min="11528" max="11528" width="16.28515625" customWidth="1"/>
    <col min="11529" max="11529" width="18.7109375" customWidth="1"/>
    <col min="11530" max="11530" width="14.140625" bestFit="1" customWidth="1"/>
    <col min="11777" max="11777" width="28.28515625" customWidth="1"/>
    <col min="11778" max="11778" width="16.42578125" customWidth="1"/>
    <col min="11779" max="11779" width="12.7109375" customWidth="1"/>
    <col min="11780" max="11780" width="17.140625" customWidth="1"/>
    <col min="11781" max="11781" width="17.28515625" customWidth="1"/>
    <col min="11782" max="11782" width="18" customWidth="1"/>
    <col min="11783" max="11783" width="12.85546875" customWidth="1"/>
    <col min="11784" max="11784" width="16.28515625" customWidth="1"/>
    <col min="11785" max="11785" width="18.7109375" customWidth="1"/>
    <col min="11786" max="11786" width="14.140625" bestFit="1" customWidth="1"/>
    <col min="12033" max="12033" width="28.28515625" customWidth="1"/>
    <col min="12034" max="12034" width="16.42578125" customWidth="1"/>
    <col min="12035" max="12035" width="12.7109375" customWidth="1"/>
    <col min="12036" max="12036" width="17.140625" customWidth="1"/>
    <col min="12037" max="12037" width="17.28515625" customWidth="1"/>
    <col min="12038" max="12038" width="18" customWidth="1"/>
    <col min="12039" max="12039" width="12.85546875" customWidth="1"/>
    <col min="12040" max="12040" width="16.28515625" customWidth="1"/>
    <col min="12041" max="12041" width="18.7109375" customWidth="1"/>
    <col min="12042" max="12042" width="14.140625" bestFit="1" customWidth="1"/>
    <col min="12289" max="12289" width="28.28515625" customWidth="1"/>
    <col min="12290" max="12290" width="16.42578125" customWidth="1"/>
    <col min="12291" max="12291" width="12.7109375" customWidth="1"/>
    <col min="12292" max="12292" width="17.140625" customWidth="1"/>
    <col min="12293" max="12293" width="17.28515625" customWidth="1"/>
    <col min="12294" max="12294" width="18" customWidth="1"/>
    <col min="12295" max="12295" width="12.85546875" customWidth="1"/>
    <col min="12296" max="12296" width="16.28515625" customWidth="1"/>
    <col min="12297" max="12297" width="18.7109375" customWidth="1"/>
    <col min="12298" max="12298" width="14.140625" bestFit="1" customWidth="1"/>
    <col min="12545" max="12545" width="28.28515625" customWidth="1"/>
    <col min="12546" max="12546" width="16.42578125" customWidth="1"/>
    <col min="12547" max="12547" width="12.7109375" customWidth="1"/>
    <col min="12548" max="12548" width="17.140625" customWidth="1"/>
    <col min="12549" max="12549" width="17.28515625" customWidth="1"/>
    <col min="12550" max="12550" width="18" customWidth="1"/>
    <col min="12551" max="12551" width="12.85546875" customWidth="1"/>
    <col min="12552" max="12552" width="16.28515625" customWidth="1"/>
    <col min="12553" max="12553" width="18.7109375" customWidth="1"/>
    <col min="12554" max="12554" width="14.140625" bestFit="1" customWidth="1"/>
    <col min="12801" max="12801" width="28.28515625" customWidth="1"/>
    <col min="12802" max="12802" width="16.42578125" customWidth="1"/>
    <col min="12803" max="12803" width="12.7109375" customWidth="1"/>
    <col min="12804" max="12804" width="17.140625" customWidth="1"/>
    <col min="12805" max="12805" width="17.28515625" customWidth="1"/>
    <col min="12806" max="12806" width="18" customWidth="1"/>
    <col min="12807" max="12807" width="12.85546875" customWidth="1"/>
    <col min="12808" max="12808" width="16.28515625" customWidth="1"/>
    <col min="12809" max="12809" width="18.7109375" customWidth="1"/>
    <col min="12810" max="12810" width="14.140625" bestFit="1" customWidth="1"/>
    <col min="13057" max="13057" width="28.28515625" customWidth="1"/>
    <col min="13058" max="13058" width="16.42578125" customWidth="1"/>
    <col min="13059" max="13059" width="12.7109375" customWidth="1"/>
    <col min="13060" max="13060" width="17.140625" customWidth="1"/>
    <col min="13061" max="13061" width="17.28515625" customWidth="1"/>
    <col min="13062" max="13062" width="18" customWidth="1"/>
    <col min="13063" max="13063" width="12.85546875" customWidth="1"/>
    <col min="13064" max="13064" width="16.28515625" customWidth="1"/>
    <col min="13065" max="13065" width="18.7109375" customWidth="1"/>
    <col min="13066" max="13066" width="14.140625" bestFit="1" customWidth="1"/>
    <col min="13313" max="13313" width="28.28515625" customWidth="1"/>
    <col min="13314" max="13314" width="16.42578125" customWidth="1"/>
    <col min="13315" max="13315" width="12.7109375" customWidth="1"/>
    <col min="13316" max="13316" width="17.140625" customWidth="1"/>
    <col min="13317" max="13317" width="17.28515625" customWidth="1"/>
    <col min="13318" max="13318" width="18" customWidth="1"/>
    <col min="13319" max="13319" width="12.85546875" customWidth="1"/>
    <col min="13320" max="13320" width="16.28515625" customWidth="1"/>
    <col min="13321" max="13321" width="18.7109375" customWidth="1"/>
    <col min="13322" max="13322" width="14.140625" bestFit="1" customWidth="1"/>
    <col min="13569" max="13569" width="28.28515625" customWidth="1"/>
    <col min="13570" max="13570" width="16.42578125" customWidth="1"/>
    <col min="13571" max="13571" width="12.7109375" customWidth="1"/>
    <col min="13572" max="13572" width="17.140625" customWidth="1"/>
    <col min="13573" max="13573" width="17.28515625" customWidth="1"/>
    <col min="13574" max="13574" width="18" customWidth="1"/>
    <col min="13575" max="13575" width="12.85546875" customWidth="1"/>
    <col min="13576" max="13576" width="16.28515625" customWidth="1"/>
    <col min="13577" max="13577" width="18.7109375" customWidth="1"/>
    <col min="13578" max="13578" width="14.140625" bestFit="1" customWidth="1"/>
    <col min="13825" max="13825" width="28.28515625" customWidth="1"/>
    <col min="13826" max="13826" width="16.42578125" customWidth="1"/>
    <col min="13827" max="13827" width="12.7109375" customWidth="1"/>
    <col min="13828" max="13828" width="17.140625" customWidth="1"/>
    <col min="13829" max="13829" width="17.28515625" customWidth="1"/>
    <col min="13830" max="13830" width="18" customWidth="1"/>
    <col min="13831" max="13831" width="12.85546875" customWidth="1"/>
    <col min="13832" max="13832" width="16.28515625" customWidth="1"/>
    <col min="13833" max="13833" width="18.7109375" customWidth="1"/>
    <col min="13834" max="13834" width="14.140625" bestFit="1" customWidth="1"/>
    <col min="14081" max="14081" width="28.28515625" customWidth="1"/>
    <col min="14082" max="14082" width="16.42578125" customWidth="1"/>
    <col min="14083" max="14083" width="12.7109375" customWidth="1"/>
    <col min="14084" max="14084" width="17.140625" customWidth="1"/>
    <col min="14085" max="14085" width="17.28515625" customWidth="1"/>
    <col min="14086" max="14086" width="18" customWidth="1"/>
    <col min="14087" max="14087" width="12.85546875" customWidth="1"/>
    <col min="14088" max="14088" width="16.28515625" customWidth="1"/>
    <col min="14089" max="14089" width="18.7109375" customWidth="1"/>
    <col min="14090" max="14090" width="14.140625" bestFit="1" customWidth="1"/>
    <col min="14337" max="14337" width="28.28515625" customWidth="1"/>
    <col min="14338" max="14338" width="16.42578125" customWidth="1"/>
    <col min="14339" max="14339" width="12.7109375" customWidth="1"/>
    <col min="14340" max="14340" width="17.140625" customWidth="1"/>
    <col min="14341" max="14341" width="17.28515625" customWidth="1"/>
    <col min="14342" max="14342" width="18" customWidth="1"/>
    <col min="14343" max="14343" width="12.85546875" customWidth="1"/>
    <col min="14344" max="14344" width="16.28515625" customWidth="1"/>
    <col min="14345" max="14345" width="18.7109375" customWidth="1"/>
    <col min="14346" max="14346" width="14.140625" bestFit="1" customWidth="1"/>
    <col min="14593" max="14593" width="28.28515625" customWidth="1"/>
    <col min="14594" max="14594" width="16.42578125" customWidth="1"/>
    <col min="14595" max="14595" width="12.7109375" customWidth="1"/>
    <col min="14596" max="14596" width="17.140625" customWidth="1"/>
    <col min="14597" max="14597" width="17.28515625" customWidth="1"/>
    <col min="14598" max="14598" width="18" customWidth="1"/>
    <col min="14599" max="14599" width="12.85546875" customWidth="1"/>
    <col min="14600" max="14600" width="16.28515625" customWidth="1"/>
    <col min="14601" max="14601" width="18.7109375" customWidth="1"/>
    <col min="14602" max="14602" width="14.140625" bestFit="1" customWidth="1"/>
    <col min="14849" max="14849" width="28.28515625" customWidth="1"/>
    <col min="14850" max="14850" width="16.42578125" customWidth="1"/>
    <col min="14851" max="14851" width="12.7109375" customWidth="1"/>
    <col min="14852" max="14852" width="17.140625" customWidth="1"/>
    <col min="14853" max="14853" width="17.28515625" customWidth="1"/>
    <col min="14854" max="14854" width="18" customWidth="1"/>
    <col min="14855" max="14855" width="12.85546875" customWidth="1"/>
    <col min="14856" max="14856" width="16.28515625" customWidth="1"/>
    <col min="14857" max="14857" width="18.7109375" customWidth="1"/>
    <col min="14858" max="14858" width="14.140625" bestFit="1" customWidth="1"/>
    <col min="15105" max="15105" width="28.28515625" customWidth="1"/>
    <col min="15106" max="15106" width="16.42578125" customWidth="1"/>
    <col min="15107" max="15107" width="12.7109375" customWidth="1"/>
    <col min="15108" max="15108" width="17.140625" customWidth="1"/>
    <col min="15109" max="15109" width="17.28515625" customWidth="1"/>
    <col min="15110" max="15110" width="18" customWidth="1"/>
    <col min="15111" max="15111" width="12.85546875" customWidth="1"/>
    <col min="15112" max="15112" width="16.28515625" customWidth="1"/>
    <col min="15113" max="15113" width="18.7109375" customWidth="1"/>
    <col min="15114" max="15114" width="14.140625" bestFit="1" customWidth="1"/>
    <col min="15361" max="15361" width="28.28515625" customWidth="1"/>
    <col min="15362" max="15362" width="16.42578125" customWidth="1"/>
    <col min="15363" max="15363" width="12.7109375" customWidth="1"/>
    <col min="15364" max="15364" width="17.140625" customWidth="1"/>
    <col min="15365" max="15365" width="17.28515625" customWidth="1"/>
    <col min="15366" max="15366" width="18" customWidth="1"/>
    <col min="15367" max="15367" width="12.85546875" customWidth="1"/>
    <col min="15368" max="15368" width="16.28515625" customWidth="1"/>
    <col min="15369" max="15369" width="18.7109375" customWidth="1"/>
    <col min="15370" max="15370" width="14.140625" bestFit="1" customWidth="1"/>
    <col min="15617" max="15617" width="28.28515625" customWidth="1"/>
    <col min="15618" max="15618" width="16.42578125" customWidth="1"/>
    <col min="15619" max="15619" width="12.7109375" customWidth="1"/>
    <col min="15620" max="15620" width="17.140625" customWidth="1"/>
    <col min="15621" max="15621" width="17.28515625" customWidth="1"/>
    <col min="15622" max="15622" width="18" customWidth="1"/>
    <col min="15623" max="15623" width="12.85546875" customWidth="1"/>
    <col min="15624" max="15624" width="16.28515625" customWidth="1"/>
    <col min="15625" max="15625" width="18.7109375" customWidth="1"/>
    <col min="15626" max="15626" width="14.140625" bestFit="1" customWidth="1"/>
    <col min="15873" max="15873" width="28.28515625" customWidth="1"/>
    <col min="15874" max="15874" width="16.42578125" customWidth="1"/>
    <col min="15875" max="15875" width="12.7109375" customWidth="1"/>
    <col min="15876" max="15876" width="17.140625" customWidth="1"/>
    <col min="15877" max="15877" width="17.28515625" customWidth="1"/>
    <col min="15878" max="15878" width="18" customWidth="1"/>
    <col min="15879" max="15879" width="12.85546875" customWidth="1"/>
    <col min="15880" max="15880" width="16.28515625" customWidth="1"/>
    <col min="15881" max="15881" width="18.7109375" customWidth="1"/>
    <col min="15882" max="15882" width="14.140625" bestFit="1" customWidth="1"/>
    <col min="16129" max="16129" width="28.28515625" customWidth="1"/>
    <col min="16130" max="16130" width="16.42578125" customWidth="1"/>
    <col min="16131" max="16131" width="12.7109375" customWidth="1"/>
    <col min="16132" max="16132" width="17.140625" customWidth="1"/>
    <col min="16133" max="16133" width="17.28515625" customWidth="1"/>
    <col min="16134" max="16134" width="18" customWidth="1"/>
    <col min="16135" max="16135" width="12.85546875" customWidth="1"/>
    <col min="16136" max="16136" width="16.28515625" customWidth="1"/>
    <col min="16137" max="16137" width="18.7109375" customWidth="1"/>
    <col min="16138" max="16138" width="14.140625" bestFit="1" customWidth="1"/>
  </cols>
  <sheetData>
    <row r="1" spans="1:10" x14ac:dyDescent="0.25">
      <c r="A1" s="127" t="s">
        <v>441</v>
      </c>
      <c r="I1" s="129" t="s">
        <v>442</v>
      </c>
    </row>
    <row r="2" spans="1:10" x14ac:dyDescent="0.25">
      <c r="A2" s="127" t="s">
        <v>443</v>
      </c>
      <c r="I2" s="130">
        <v>41430</v>
      </c>
    </row>
    <row r="3" spans="1:10" x14ac:dyDescent="0.25">
      <c r="E3" s="131"/>
    </row>
    <row r="4" spans="1:10" x14ac:dyDescent="0.25">
      <c r="E4" s="132" t="s">
        <v>444</v>
      </c>
      <c r="F4" s="133">
        <v>10100000</v>
      </c>
      <c r="G4" s="134"/>
      <c r="H4" s="135"/>
    </row>
    <row r="5" spans="1:10" x14ac:dyDescent="0.25">
      <c r="A5" s="132" t="s">
        <v>445</v>
      </c>
      <c r="B5" s="127" t="s">
        <v>446</v>
      </c>
      <c r="E5" s="132" t="s">
        <v>447</v>
      </c>
      <c r="F5" s="136">
        <v>41430</v>
      </c>
      <c r="G5" s="134"/>
      <c r="H5" s="135"/>
      <c r="I5" s="137"/>
      <c r="J5" s="138"/>
    </row>
    <row r="6" spans="1:10" x14ac:dyDescent="0.25">
      <c r="A6" s="132" t="s">
        <v>448</v>
      </c>
      <c r="B6" s="127" t="s">
        <v>449</v>
      </c>
      <c r="E6" s="132" t="s">
        <v>450</v>
      </c>
      <c r="F6" s="136">
        <v>41430</v>
      </c>
      <c r="G6" s="134"/>
      <c r="H6" s="135"/>
      <c r="I6" s="138"/>
      <c r="J6" s="138"/>
    </row>
    <row r="7" spans="1:10" x14ac:dyDescent="0.25">
      <c r="A7" s="132" t="s">
        <v>451</v>
      </c>
      <c r="B7" s="127" t="s">
        <v>452</v>
      </c>
      <c r="C7" s="127"/>
      <c r="D7" s="139"/>
      <c r="E7" s="132" t="s">
        <v>453</v>
      </c>
      <c r="F7" s="136">
        <v>44013</v>
      </c>
      <c r="G7" s="134"/>
      <c r="H7" s="135"/>
      <c r="I7" s="138"/>
      <c r="J7" s="138"/>
    </row>
    <row r="8" spans="1:10" x14ac:dyDescent="0.25">
      <c r="A8" s="132"/>
      <c r="B8" s="127"/>
      <c r="C8" s="140"/>
      <c r="D8" s="141"/>
      <c r="E8" s="132" t="s">
        <v>454</v>
      </c>
      <c r="F8" s="142" t="s">
        <v>455</v>
      </c>
      <c r="G8" s="143"/>
      <c r="H8" s="143"/>
      <c r="I8" s="138"/>
      <c r="J8" s="138"/>
    </row>
    <row r="9" spans="1:10" x14ac:dyDescent="0.25">
      <c r="A9" s="132"/>
      <c r="B9" s="239" t="s">
        <v>456</v>
      </c>
      <c r="C9" s="239"/>
      <c r="D9" s="138"/>
      <c r="E9" s="132" t="s">
        <v>457</v>
      </c>
      <c r="F9" s="144">
        <v>41487</v>
      </c>
      <c r="G9" s="144"/>
      <c r="H9" s="135"/>
      <c r="I9" s="138"/>
      <c r="J9" s="138"/>
    </row>
    <row r="10" spans="1:10" x14ac:dyDescent="0.25">
      <c r="B10" s="145" t="s">
        <v>458</v>
      </c>
      <c r="C10" s="146">
        <v>1.6899999999999998E-2</v>
      </c>
      <c r="D10" s="147"/>
      <c r="E10" s="147"/>
      <c r="F10" s="147"/>
      <c r="G10" s="148"/>
      <c r="H10" s="147"/>
      <c r="I10" s="147"/>
      <c r="J10" s="138"/>
    </row>
    <row r="11" spans="1:10" x14ac:dyDescent="0.25">
      <c r="A11" s="132"/>
      <c r="B11" s="145" t="s">
        <v>459</v>
      </c>
      <c r="C11" s="149">
        <v>1.95E-2</v>
      </c>
      <c r="D11" s="150"/>
      <c r="E11" s="150"/>
      <c r="F11" s="150"/>
      <c r="G11" s="141"/>
      <c r="H11" s="150"/>
      <c r="I11" s="150"/>
      <c r="J11" s="138"/>
    </row>
    <row r="12" spans="1:10" x14ac:dyDescent="0.25">
      <c r="A12" s="129"/>
      <c r="B12" s="151" t="s">
        <v>460</v>
      </c>
      <c r="C12" s="152">
        <f>SUM(C10:C11)</f>
        <v>3.6400000000000002E-2</v>
      </c>
      <c r="D12" s="138"/>
      <c r="E12" s="127"/>
      <c r="F12" s="138"/>
      <c r="G12" s="141"/>
      <c r="H12" s="138"/>
      <c r="I12" s="138"/>
      <c r="J12" s="138"/>
    </row>
    <row r="13" spans="1:10" x14ac:dyDescent="0.25">
      <c r="A13" s="132"/>
      <c r="B13" s="127"/>
      <c r="C13" s="127"/>
      <c r="D13" s="138"/>
      <c r="E13" s="127"/>
      <c r="F13" s="138"/>
      <c r="G13" s="141"/>
      <c r="H13" s="153"/>
      <c r="I13" s="153"/>
      <c r="J13" s="138"/>
    </row>
    <row r="14" spans="1:10" x14ac:dyDescent="0.25">
      <c r="I14" s="154"/>
      <c r="J14" s="138"/>
    </row>
    <row r="15" spans="1:10" ht="46.5" customHeight="1" thickBot="1" x14ac:dyDescent="0.3">
      <c r="A15" s="155" t="s">
        <v>461</v>
      </c>
      <c r="B15" s="240" t="s">
        <v>462</v>
      </c>
      <c r="C15" s="240"/>
      <c r="D15" s="156" t="s">
        <v>186</v>
      </c>
      <c r="E15" s="156" t="s">
        <v>463</v>
      </c>
      <c r="F15" s="156" t="s">
        <v>185</v>
      </c>
      <c r="G15" s="157" t="s">
        <v>464</v>
      </c>
      <c r="H15" s="157" t="s">
        <v>465</v>
      </c>
      <c r="I15" s="157" t="s">
        <v>466</v>
      </c>
      <c r="J15" s="138"/>
    </row>
    <row r="16" spans="1:10" ht="15.75" thickTop="1" x14ac:dyDescent="0.25">
      <c r="A16" s="141">
        <v>1</v>
      </c>
      <c r="B16" s="158">
        <v>41430</v>
      </c>
      <c r="C16" s="159">
        <v>41487</v>
      </c>
      <c r="D16" s="160">
        <v>10100000</v>
      </c>
      <c r="E16" s="161">
        <v>20525.789999999106</v>
      </c>
      <c r="F16" s="162">
        <f t="shared" ref="F16:F79" si="0">D16-E16</f>
        <v>10079474.210000001</v>
      </c>
      <c r="G16" s="162">
        <f t="shared" ref="G16:G79" si="1">C16-B16</f>
        <v>57</v>
      </c>
      <c r="H16" s="162">
        <f t="shared" ref="H16:H79" si="2">(D16*$C$12)*((C16-B16)/360)</f>
        <v>58209.666666666664</v>
      </c>
      <c r="I16" s="162">
        <f t="shared" ref="I16:I79" si="3">H16+E16</f>
        <v>78735.456666665763</v>
      </c>
      <c r="J16" s="163"/>
    </row>
    <row r="17" spans="1:10" x14ac:dyDescent="0.25">
      <c r="A17" s="141">
        <v>2</v>
      </c>
      <c r="B17" s="158">
        <v>41487</v>
      </c>
      <c r="C17" s="159">
        <v>41520</v>
      </c>
      <c r="D17" s="160">
        <v>10079474.210000001</v>
      </c>
      <c r="E17" s="161">
        <v>19526.85000000149</v>
      </c>
      <c r="F17" s="162">
        <f t="shared" si="0"/>
        <v>10059947.359999999</v>
      </c>
      <c r="G17" s="162">
        <f t="shared" si="1"/>
        <v>33</v>
      </c>
      <c r="H17" s="162">
        <f t="shared" si="2"/>
        <v>33631.845614033336</v>
      </c>
      <c r="I17" s="162">
        <f t="shared" si="3"/>
        <v>53158.695614034827</v>
      </c>
      <c r="J17" s="163"/>
    </row>
    <row r="18" spans="1:10" x14ac:dyDescent="0.25">
      <c r="A18" s="141">
        <v>3</v>
      </c>
      <c r="B18" s="158">
        <v>41520</v>
      </c>
      <c r="C18" s="159">
        <v>41548</v>
      </c>
      <c r="D18" s="160">
        <v>10059947.359999999</v>
      </c>
      <c r="E18" s="161">
        <v>19590.740000000224</v>
      </c>
      <c r="F18" s="162">
        <f t="shared" si="0"/>
        <v>10040356.619999999</v>
      </c>
      <c r="G18" s="162">
        <f t="shared" si="1"/>
        <v>28</v>
      </c>
      <c r="H18" s="162">
        <f t="shared" si="2"/>
        <v>28480.82874808889</v>
      </c>
      <c r="I18" s="162">
        <f t="shared" si="3"/>
        <v>48071.568748089114</v>
      </c>
      <c r="J18" s="163"/>
    </row>
    <row r="19" spans="1:10" x14ac:dyDescent="0.25">
      <c r="A19" s="141">
        <v>4</v>
      </c>
      <c r="B19" s="158">
        <v>41548</v>
      </c>
      <c r="C19" s="159">
        <v>41579</v>
      </c>
      <c r="D19" s="160">
        <v>10040356.619999999</v>
      </c>
      <c r="E19" s="161">
        <v>20714.669999999925</v>
      </c>
      <c r="F19" s="162">
        <f t="shared" si="0"/>
        <v>10019641.949999999</v>
      </c>
      <c r="G19" s="162">
        <f t="shared" si="1"/>
        <v>31</v>
      </c>
      <c r="H19" s="162">
        <f t="shared" si="2"/>
        <v>31470.940027799996</v>
      </c>
      <c r="I19" s="162">
        <f t="shared" si="3"/>
        <v>52185.610027799921</v>
      </c>
      <c r="J19" s="163"/>
    </row>
    <row r="20" spans="1:10" x14ac:dyDescent="0.25">
      <c r="A20" s="141">
        <v>5</v>
      </c>
      <c r="B20" s="158">
        <v>41579</v>
      </c>
      <c r="C20" s="159">
        <v>41610</v>
      </c>
      <c r="D20" s="160">
        <v>10019641.949999999</v>
      </c>
      <c r="E20" s="161">
        <v>19722.629999998957</v>
      </c>
      <c r="F20" s="162">
        <f t="shared" si="0"/>
        <v>9999919.3200000003</v>
      </c>
      <c r="G20" s="162">
        <f t="shared" si="1"/>
        <v>31</v>
      </c>
      <c r="H20" s="162">
        <f t="shared" si="2"/>
        <v>31406.011045499996</v>
      </c>
      <c r="I20" s="162">
        <f t="shared" si="3"/>
        <v>51128.641045498953</v>
      </c>
      <c r="J20" s="163"/>
    </row>
    <row r="21" spans="1:10" x14ac:dyDescent="0.25">
      <c r="A21" s="141">
        <v>6</v>
      </c>
      <c r="B21" s="158">
        <v>41610</v>
      </c>
      <c r="C21" s="159">
        <v>41641</v>
      </c>
      <c r="D21" s="160">
        <v>9999919.3200000003</v>
      </c>
      <c r="E21" s="161">
        <v>20842.720000000671</v>
      </c>
      <c r="F21" s="162">
        <f t="shared" si="0"/>
        <v>9979076.5999999996</v>
      </c>
      <c r="G21" s="162">
        <f t="shared" si="1"/>
        <v>31</v>
      </c>
      <c r="H21" s="162">
        <f t="shared" si="2"/>
        <v>31344.191557466671</v>
      </c>
      <c r="I21" s="162">
        <f t="shared" si="3"/>
        <v>52186.911557467341</v>
      </c>
      <c r="J21" s="163"/>
    </row>
    <row r="22" spans="1:10" x14ac:dyDescent="0.25">
      <c r="A22" s="141">
        <v>7</v>
      </c>
      <c r="B22" s="158">
        <v>41641</v>
      </c>
      <c r="C22" s="159">
        <v>41673</v>
      </c>
      <c r="D22" s="160">
        <v>9979076.5999999996</v>
      </c>
      <c r="E22" s="161">
        <v>19855.36999999918</v>
      </c>
      <c r="F22" s="162">
        <f t="shared" si="0"/>
        <v>9959221.2300000004</v>
      </c>
      <c r="G22" s="162">
        <f t="shared" si="1"/>
        <v>32</v>
      </c>
      <c r="H22" s="162">
        <f t="shared" si="2"/>
        <v>32287.856732444445</v>
      </c>
      <c r="I22" s="162">
        <f t="shared" si="3"/>
        <v>52143.226732443625</v>
      </c>
      <c r="J22" s="163"/>
    </row>
    <row r="23" spans="1:10" x14ac:dyDescent="0.25">
      <c r="A23" s="141">
        <v>8</v>
      </c>
      <c r="B23" s="158">
        <v>41673</v>
      </c>
      <c r="C23" s="159">
        <v>41701</v>
      </c>
      <c r="D23" s="160">
        <v>9959221.2300000004</v>
      </c>
      <c r="E23" s="161">
        <v>19920.339999999851</v>
      </c>
      <c r="F23" s="162">
        <f t="shared" si="0"/>
        <v>9939300.8900000006</v>
      </c>
      <c r="G23" s="162">
        <f t="shared" si="1"/>
        <v>28</v>
      </c>
      <c r="H23" s="162">
        <f t="shared" si="2"/>
        <v>28195.661882266671</v>
      </c>
      <c r="I23" s="162">
        <f t="shared" si="3"/>
        <v>48116.001882266522</v>
      </c>
      <c r="J23" s="163"/>
    </row>
    <row r="24" spans="1:10" x14ac:dyDescent="0.25">
      <c r="A24" s="141">
        <v>9</v>
      </c>
      <c r="B24" s="158">
        <v>41701</v>
      </c>
      <c r="C24" s="159">
        <v>41730</v>
      </c>
      <c r="D24" s="160">
        <v>9939300.8900000006</v>
      </c>
      <c r="E24" s="161">
        <v>23132.970000000671</v>
      </c>
      <c r="F24" s="162">
        <f t="shared" si="0"/>
        <v>9916167.9199999999</v>
      </c>
      <c r="G24" s="162">
        <f t="shared" si="1"/>
        <v>29</v>
      </c>
      <c r="H24" s="162">
        <f t="shared" si="2"/>
        <v>29144.238943011114</v>
      </c>
      <c r="I24" s="162">
        <f t="shared" si="3"/>
        <v>52277.208943011785</v>
      </c>
      <c r="J24" s="163"/>
    </row>
    <row r="25" spans="1:10" x14ac:dyDescent="0.25">
      <c r="A25" s="141">
        <v>10</v>
      </c>
      <c r="B25" s="158">
        <v>41730</v>
      </c>
      <c r="C25" s="159">
        <v>41760</v>
      </c>
      <c r="D25" s="160">
        <v>9916167.9199999999</v>
      </c>
      <c r="E25" s="161">
        <v>20061.220000000671</v>
      </c>
      <c r="F25" s="162">
        <f t="shared" si="0"/>
        <v>9896106.6999999993</v>
      </c>
      <c r="G25" s="162">
        <f t="shared" si="1"/>
        <v>30</v>
      </c>
      <c r="H25" s="162">
        <f t="shared" si="2"/>
        <v>30079.042690666669</v>
      </c>
      <c r="I25" s="162">
        <f t="shared" si="3"/>
        <v>50140.262690667339</v>
      </c>
      <c r="J25" s="163"/>
    </row>
    <row r="26" spans="1:10" x14ac:dyDescent="0.25">
      <c r="A26" s="141">
        <v>11</v>
      </c>
      <c r="B26" s="158">
        <v>41760</v>
      </c>
      <c r="C26" s="159">
        <v>41792</v>
      </c>
      <c r="D26" s="160">
        <v>9896106.6999999993</v>
      </c>
      <c r="E26" s="160">
        <v>21171.459999999031</v>
      </c>
      <c r="F26" s="162">
        <f t="shared" si="0"/>
        <v>9874935.2400000002</v>
      </c>
      <c r="G26" s="162">
        <f t="shared" si="1"/>
        <v>32</v>
      </c>
      <c r="H26" s="162">
        <f t="shared" si="2"/>
        <v>32019.403011555558</v>
      </c>
      <c r="I26" s="162">
        <f t="shared" si="3"/>
        <v>53190.863011554589</v>
      </c>
      <c r="J26" s="164"/>
    </row>
    <row r="27" spans="1:10" x14ac:dyDescent="0.25">
      <c r="A27" s="141">
        <v>12</v>
      </c>
      <c r="B27" s="158">
        <v>41792</v>
      </c>
      <c r="C27" s="159">
        <v>41821</v>
      </c>
      <c r="D27" s="160">
        <v>9874935.2400000002</v>
      </c>
      <c r="E27" s="161">
        <v>20196.140000000596</v>
      </c>
      <c r="F27" s="162">
        <f t="shared" si="0"/>
        <v>9854739.0999999996</v>
      </c>
      <c r="G27" s="162">
        <f t="shared" si="1"/>
        <v>29</v>
      </c>
      <c r="H27" s="162">
        <f t="shared" si="2"/>
        <v>28955.504553733335</v>
      </c>
      <c r="I27" s="162">
        <f t="shared" si="3"/>
        <v>49151.644553733931</v>
      </c>
      <c r="J27" s="165"/>
    </row>
    <row r="28" spans="1:10" x14ac:dyDescent="0.25">
      <c r="A28" s="141">
        <v>13</v>
      </c>
      <c r="B28" s="158">
        <v>41821</v>
      </c>
      <c r="C28" s="159">
        <v>41852</v>
      </c>
      <c r="D28" s="160">
        <v>9854739.0999999996</v>
      </c>
      <c r="E28" s="161">
        <v>21302.449999999255</v>
      </c>
      <c r="F28" s="162">
        <f t="shared" si="0"/>
        <v>9833436.6500000004</v>
      </c>
      <c r="G28" s="162">
        <f t="shared" si="1"/>
        <v>31</v>
      </c>
      <c r="H28" s="162">
        <f t="shared" si="2"/>
        <v>30889.132223444445</v>
      </c>
      <c r="I28" s="162">
        <f t="shared" si="3"/>
        <v>52191.5822234437</v>
      </c>
      <c r="J28" s="138"/>
    </row>
    <row r="29" spans="1:10" x14ac:dyDescent="0.25">
      <c r="A29" s="141">
        <v>14</v>
      </c>
      <c r="B29" s="158">
        <v>41852</v>
      </c>
      <c r="C29" s="159">
        <v>41884</v>
      </c>
      <c r="D29" s="160">
        <v>9833436.6500000004</v>
      </c>
      <c r="E29" s="161">
        <v>20331.939999999478</v>
      </c>
      <c r="F29" s="162">
        <f t="shared" si="0"/>
        <v>9813104.7100000009</v>
      </c>
      <c r="G29" s="162">
        <f t="shared" si="1"/>
        <v>32</v>
      </c>
      <c r="H29" s="162">
        <f t="shared" si="2"/>
        <v>31816.630583111117</v>
      </c>
      <c r="I29" s="162">
        <f t="shared" si="3"/>
        <v>52148.570583110595</v>
      </c>
      <c r="J29" s="163"/>
    </row>
    <row r="30" spans="1:10" x14ac:dyDescent="0.25">
      <c r="A30" s="141">
        <v>15</v>
      </c>
      <c r="B30" s="158">
        <v>41884</v>
      </c>
      <c r="C30" s="159">
        <v>41913</v>
      </c>
      <c r="D30" s="160">
        <v>9813104.7100000009</v>
      </c>
      <c r="E30" s="161">
        <v>20398.470000000671</v>
      </c>
      <c r="F30" s="162">
        <f t="shared" si="0"/>
        <v>9792706.2400000002</v>
      </c>
      <c r="G30" s="162">
        <f t="shared" si="1"/>
        <v>29</v>
      </c>
      <c r="H30" s="162">
        <f t="shared" si="2"/>
        <v>28774.203699655562</v>
      </c>
      <c r="I30" s="162">
        <f t="shared" si="3"/>
        <v>49172.673699656232</v>
      </c>
      <c r="J30" s="163"/>
    </row>
    <row r="31" spans="1:10" x14ac:dyDescent="0.25">
      <c r="A31" s="141">
        <v>16</v>
      </c>
      <c r="B31" s="158">
        <v>41913</v>
      </c>
      <c r="C31" s="159">
        <v>41946</v>
      </c>
      <c r="D31" s="160">
        <v>9792706.2400000002</v>
      </c>
      <c r="E31" s="161">
        <v>21498.890000000596</v>
      </c>
      <c r="F31" s="162">
        <f t="shared" si="0"/>
        <v>9771207.3499999996</v>
      </c>
      <c r="G31" s="162">
        <f t="shared" si="1"/>
        <v>33</v>
      </c>
      <c r="H31" s="162">
        <f t="shared" si="2"/>
        <v>32674.996487466666</v>
      </c>
      <c r="I31" s="162">
        <f t="shared" si="3"/>
        <v>54173.886487467258</v>
      </c>
      <c r="J31" s="163"/>
    </row>
    <row r="32" spans="1:10" x14ac:dyDescent="0.25">
      <c r="A32" s="141">
        <v>17</v>
      </c>
      <c r="B32" s="158">
        <v>41946</v>
      </c>
      <c r="C32" s="159">
        <v>41974</v>
      </c>
      <c r="D32" s="160">
        <v>9771207.3499999996</v>
      </c>
      <c r="E32" s="161">
        <v>20535.560000000522</v>
      </c>
      <c r="F32" s="162">
        <f t="shared" si="0"/>
        <v>9750671.7899999991</v>
      </c>
      <c r="G32" s="162">
        <f t="shared" si="1"/>
        <v>28</v>
      </c>
      <c r="H32" s="162">
        <f t="shared" si="2"/>
        <v>27663.373697555558</v>
      </c>
      <c r="I32" s="162">
        <f t="shared" si="3"/>
        <v>48198.93369755608</v>
      </c>
      <c r="J32" s="163"/>
    </row>
    <row r="33" spans="1:10" x14ac:dyDescent="0.25">
      <c r="A33" s="141">
        <v>18</v>
      </c>
      <c r="B33" s="158">
        <v>41974</v>
      </c>
      <c r="C33" s="159">
        <v>42006</v>
      </c>
      <c r="D33" s="160">
        <v>9750671.7899999991</v>
      </c>
      <c r="E33" s="161">
        <v>21632</v>
      </c>
      <c r="F33" s="162">
        <f t="shared" si="0"/>
        <v>9729039.7899999991</v>
      </c>
      <c r="G33" s="162">
        <f t="shared" si="1"/>
        <v>32</v>
      </c>
      <c r="H33" s="162">
        <f t="shared" si="2"/>
        <v>31548.840280533335</v>
      </c>
      <c r="I33" s="162">
        <f t="shared" si="3"/>
        <v>53180.840280533332</v>
      </c>
      <c r="J33" s="166"/>
    </row>
    <row r="34" spans="1:10" x14ac:dyDescent="0.25">
      <c r="A34" s="141">
        <v>19</v>
      </c>
      <c r="B34" s="158">
        <v>42006</v>
      </c>
      <c r="C34" s="159">
        <v>42037</v>
      </c>
      <c r="D34" s="160">
        <v>9729039.7899999991</v>
      </c>
      <c r="E34" s="161">
        <v>20673.549999998882</v>
      </c>
      <c r="F34" s="162">
        <f t="shared" si="0"/>
        <v>9708366.2400000002</v>
      </c>
      <c r="G34" s="162">
        <f t="shared" si="1"/>
        <v>31</v>
      </c>
      <c r="H34" s="162">
        <f t="shared" si="2"/>
        <v>30495.134719544443</v>
      </c>
      <c r="I34" s="162">
        <f t="shared" si="3"/>
        <v>51168.684719543322</v>
      </c>
      <c r="J34" s="166"/>
    </row>
    <row r="35" spans="1:10" x14ac:dyDescent="0.25">
      <c r="A35" s="141">
        <v>20</v>
      </c>
      <c r="B35" s="158">
        <v>42037</v>
      </c>
      <c r="C35" s="159">
        <v>42065</v>
      </c>
      <c r="D35" s="160">
        <v>9708366.2400000002</v>
      </c>
      <c r="E35" s="161">
        <v>20741.200000001118</v>
      </c>
      <c r="F35" s="162">
        <f t="shared" si="0"/>
        <v>9687625.0399999991</v>
      </c>
      <c r="G35" s="162">
        <f t="shared" si="1"/>
        <v>28</v>
      </c>
      <c r="H35" s="162">
        <f t="shared" si="2"/>
        <v>27485.4635328</v>
      </c>
      <c r="I35" s="162">
        <f t="shared" si="3"/>
        <v>48226.663532801118</v>
      </c>
      <c r="J35" s="166"/>
    </row>
    <row r="36" spans="1:10" x14ac:dyDescent="0.25">
      <c r="A36" s="141">
        <v>21</v>
      </c>
      <c r="B36" s="158">
        <v>42065</v>
      </c>
      <c r="C36" s="159">
        <v>42095</v>
      </c>
      <c r="D36" s="160">
        <v>9687625.0399999991</v>
      </c>
      <c r="E36" s="161">
        <v>23876.809999998659</v>
      </c>
      <c r="F36" s="162">
        <f t="shared" si="0"/>
        <v>9663748.2300000004</v>
      </c>
      <c r="G36" s="162">
        <f t="shared" si="1"/>
        <v>30</v>
      </c>
      <c r="H36" s="162">
        <f t="shared" si="2"/>
        <v>29385.795954666661</v>
      </c>
      <c r="I36" s="162">
        <f t="shared" si="3"/>
        <v>53262.60595466532</v>
      </c>
      <c r="J36" s="166"/>
    </row>
    <row r="37" spans="1:10" x14ac:dyDescent="0.25">
      <c r="A37" s="141">
        <v>22</v>
      </c>
      <c r="B37" s="158">
        <v>42095</v>
      </c>
      <c r="C37" s="159">
        <v>42125</v>
      </c>
      <c r="D37" s="160">
        <v>9663748.2300000004</v>
      </c>
      <c r="E37" s="161">
        <v>20887.190000001341</v>
      </c>
      <c r="F37" s="162">
        <f t="shared" si="0"/>
        <v>9642861.0399999991</v>
      </c>
      <c r="G37" s="162">
        <f t="shared" si="1"/>
        <v>30</v>
      </c>
      <c r="H37" s="162">
        <f t="shared" si="2"/>
        <v>29313.369631000001</v>
      </c>
      <c r="I37" s="162">
        <f t="shared" si="3"/>
        <v>50200.559631001342</v>
      </c>
      <c r="J37" s="166"/>
    </row>
    <row r="38" spans="1:10" x14ac:dyDescent="0.25">
      <c r="A38" s="141">
        <v>23</v>
      </c>
      <c r="B38" s="158">
        <v>42125</v>
      </c>
      <c r="C38" s="159">
        <v>42156</v>
      </c>
      <c r="D38" s="160">
        <v>9642861.0399999991</v>
      </c>
      <c r="E38" s="161">
        <v>21973.39999999851</v>
      </c>
      <c r="F38" s="162">
        <f t="shared" si="0"/>
        <v>9620887.6400000006</v>
      </c>
      <c r="G38" s="162">
        <f t="shared" si="1"/>
        <v>31</v>
      </c>
      <c r="H38" s="162">
        <f t="shared" si="2"/>
        <v>30225.012215377777</v>
      </c>
      <c r="I38" s="162">
        <f t="shared" si="3"/>
        <v>52198.412215376287</v>
      </c>
      <c r="J38" s="166"/>
    </row>
    <row r="39" spans="1:10" x14ac:dyDescent="0.25">
      <c r="A39" s="141">
        <v>24</v>
      </c>
      <c r="B39" s="158">
        <v>42156</v>
      </c>
      <c r="C39" s="159">
        <v>42186</v>
      </c>
      <c r="D39" s="160">
        <v>9620887.6400000006</v>
      </c>
      <c r="E39" s="161">
        <v>21027.450000001118</v>
      </c>
      <c r="F39" s="162">
        <f t="shared" si="0"/>
        <v>9599860.1899999995</v>
      </c>
      <c r="G39" s="162">
        <f t="shared" si="1"/>
        <v>30</v>
      </c>
      <c r="H39" s="162">
        <f t="shared" si="2"/>
        <v>29183.359174666668</v>
      </c>
      <c r="I39" s="162">
        <f t="shared" si="3"/>
        <v>50210.809174667782</v>
      </c>
      <c r="J39" s="166"/>
    </row>
    <row r="40" spans="1:10" x14ac:dyDescent="0.25">
      <c r="A40" s="141">
        <v>25</v>
      </c>
      <c r="B40" s="158">
        <v>42186</v>
      </c>
      <c r="C40" s="159">
        <v>42219</v>
      </c>
      <c r="D40" s="160">
        <v>9599860.1899999995</v>
      </c>
      <c r="E40" s="161">
        <v>22109.570000000298</v>
      </c>
      <c r="F40" s="162">
        <f t="shared" si="0"/>
        <v>9577750.6199999992</v>
      </c>
      <c r="G40" s="162">
        <f t="shared" si="1"/>
        <v>33</v>
      </c>
      <c r="H40" s="162">
        <f t="shared" si="2"/>
        <v>32031.533500633333</v>
      </c>
      <c r="I40" s="162">
        <f t="shared" si="3"/>
        <v>54141.103500633631</v>
      </c>
      <c r="J40" s="166"/>
    </row>
    <row r="41" spans="1:10" x14ac:dyDescent="0.25">
      <c r="A41" s="141">
        <v>26</v>
      </c>
      <c r="B41" s="158">
        <v>42219</v>
      </c>
      <c r="C41" s="159">
        <v>42248</v>
      </c>
      <c r="D41" s="160">
        <v>9577750.6199999992</v>
      </c>
      <c r="E41" s="161">
        <v>21168.599999999627</v>
      </c>
      <c r="F41" s="162">
        <f t="shared" si="0"/>
        <v>9556582.0199999996</v>
      </c>
      <c r="G41" s="162">
        <f t="shared" si="1"/>
        <v>29</v>
      </c>
      <c r="H41" s="162">
        <f t="shared" si="2"/>
        <v>28084.093206866666</v>
      </c>
      <c r="I41" s="162">
        <f t="shared" si="3"/>
        <v>49252.693206866294</v>
      </c>
      <c r="J41" s="166"/>
    </row>
    <row r="42" spans="1:10" x14ac:dyDescent="0.25">
      <c r="A42" s="141">
        <v>27</v>
      </c>
      <c r="B42" s="158">
        <v>42248</v>
      </c>
      <c r="C42" s="159">
        <v>42278</v>
      </c>
      <c r="D42" s="160">
        <v>9556582.0199999996</v>
      </c>
      <c r="E42" s="161">
        <v>21237.859999999404</v>
      </c>
      <c r="F42" s="162">
        <f t="shared" si="0"/>
        <v>9535344.1600000001</v>
      </c>
      <c r="G42" s="162">
        <f t="shared" si="1"/>
        <v>30</v>
      </c>
      <c r="H42" s="162">
        <f t="shared" si="2"/>
        <v>28988.298794000002</v>
      </c>
      <c r="I42" s="162">
        <f t="shared" si="3"/>
        <v>50226.158793999406</v>
      </c>
      <c r="J42" s="166"/>
    </row>
    <row r="43" spans="1:10" x14ac:dyDescent="0.25">
      <c r="A43" s="141">
        <v>28</v>
      </c>
      <c r="B43" s="158">
        <v>42278</v>
      </c>
      <c r="C43" s="159">
        <v>42310</v>
      </c>
      <c r="D43" s="160">
        <v>9535344.1600000001</v>
      </c>
      <c r="E43" s="161">
        <v>22313.870000001043</v>
      </c>
      <c r="F43" s="162">
        <f t="shared" si="0"/>
        <v>9513030.2899999991</v>
      </c>
      <c r="G43" s="162">
        <f t="shared" si="1"/>
        <v>32</v>
      </c>
      <c r="H43" s="162">
        <f t="shared" si="2"/>
        <v>30852.135771022226</v>
      </c>
      <c r="I43" s="162">
        <f t="shared" si="3"/>
        <v>53166.005771023265</v>
      </c>
      <c r="J43" s="166"/>
    </row>
    <row r="44" spans="1:10" x14ac:dyDescent="0.25">
      <c r="A44" s="141">
        <v>29</v>
      </c>
      <c r="B44" s="158">
        <v>42310</v>
      </c>
      <c r="C44" s="159">
        <v>42339</v>
      </c>
      <c r="D44" s="160">
        <v>9513030.2899999991</v>
      </c>
      <c r="E44" s="161">
        <v>21380.379999998957</v>
      </c>
      <c r="F44" s="162">
        <f t="shared" si="0"/>
        <v>9491649.9100000001</v>
      </c>
      <c r="G44" s="162">
        <f t="shared" si="1"/>
        <v>29</v>
      </c>
      <c r="H44" s="162">
        <f t="shared" si="2"/>
        <v>27894.318817011113</v>
      </c>
      <c r="I44" s="162">
        <f t="shared" si="3"/>
        <v>49274.698817010067</v>
      </c>
      <c r="J44" s="166"/>
    </row>
    <row r="45" spans="1:10" x14ac:dyDescent="0.25">
      <c r="A45" s="141">
        <v>30</v>
      </c>
      <c r="B45" s="158">
        <v>42339</v>
      </c>
      <c r="C45" s="159">
        <v>42373</v>
      </c>
      <c r="D45" s="160">
        <v>9491649.9100000001</v>
      </c>
      <c r="E45" s="161">
        <v>22452.240000000224</v>
      </c>
      <c r="F45" s="162">
        <f t="shared" si="0"/>
        <v>9469197.6699999999</v>
      </c>
      <c r="G45" s="162">
        <f t="shared" si="1"/>
        <v>34</v>
      </c>
      <c r="H45" s="162">
        <f t="shared" si="2"/>
        <v>32630.183135044444</v>
      </c>
      <c r="I45" s="162">
        <f t="shared" si="3"/>
        <v>55082.423135044664</v>
      </c>
      <c r="J45" s="166"/>
    </row>
    <row r="46" spans="1:10" x14ac:dyDescent="0.25">
      <c r="A46" s="141">
        <v>31</v>
      </c>
      <c r="B46" s="158">
        <v>42373</v>
      </c>
      <c r="C46" s="159">
        <v>42401</v>
      </c>
      <c r="D46" s="160">
        <v>9469197.6699999999</v>
      </c>
      <c r="E46" s="161">
        <v>21523.810000000522</v>
      </c>
      <c r="F46" s="162">
        <f t="shared" si="0"/>
        <v>9447673.8599999994</v>
      </c>
      <c r="G46" s="162">
        <f t="shared" si="1"/>
        <v>28</v>
      </c>
      <c r="H46" s="162">
        <f t="shared" si="2"/>
        <v>26808.350736844448</v>
      </c>
      <c r="I46" s="162">
        <f t="shared" si="3"/>
        <v>48332.16073684497</v>
      </c>
      <c r="J46" s="166"/>
    </row>
    <row r="47" spans="1:10" x14ac:dyDescent="0.25">
      <c r="A47" s="141">
        <v>32</v>
      </c>
      <c r="B47" s="158">
        <v>42401</v>
      </c>
      <c r="C47" s="159">
        <v>42430</v>
      </c>
      <c r="D47" s="160">
        <v>9447673.8599999994</v>
      </c>
      <c r="E47" s="161">
        <v>21594.229999998584</v>
      </c>
      <c r="F47" s="162">
        <f t="shared" si="0"/>
        <v>9426079.6300000008</v>
      </c>
      <c r="G47" s="162">
        <f t="shared" si="1"/>
        <v>29</v>
      </c>
      <c r="H47" s="162">
        <f t="shared" si="2"/>
        <v>27702.679240599999</v>
      </c>
      <c r="I47" s="162">
        <f t="shared" si="3"/>
        <v>49296.909240598587</v>
      </c>
      <c r="J47" s="166"/>
    </row>
    <row r="48" spans="1:10" x14ac:dyDescent="0.25">
      <c r="A48" s="141">
        <v>33</v>
      </c>
      <c r="B48" s="158">
        <v>42430</v>
      </c>
      <c r="C48" s="159">
        <v>42461</v>
      </c>
      <c r="D48" s="160">
        <v>9426079.6300000008</v>
      </c>
      <c r="E48" s="161">
        <v>23654.85000000149</v>
      </c>
      <c r="F48" s="162">
        <f t="shared" si="0"/>
        <v>9402424.7799999993</v>
      </c>
      <c r="G48" s="162">
        <f t="shared" si="1"/>
        <v>31</v>
      </c>
      <c r="H48" s="162">
        <f t="shared" si="2"/>
        <v>29545.522929144448</v>
      </c>
      <c r="I48" s="162">
        <f t="shared" si="3"/>
        <v>53200.372929145939</v>
      </c>
      <c r="J48" s="166"/>
    </row>
    <row r="49" spans="1:10" x14ac:dyDescent="0.25">
      <c r="A49" s="141">
        <v>34</v>
      </c>
      <c r="B49" s="158">
        <v>42461</v>
      </c>
      <c r="C49" s="159">
        <v>42493</v>
      </c>
      <c r="D49" s="160">
        <v>9402424.7799999993</v>
      </c>
      <c r="E49" s="161">
        <v>21742.309999998659</v>
      </c>
      <c r="F49" s="162">
        <f t="shared" si="0"/>
        <v>9380682.4700000007</v>
      </c>
      <c r="G49" s="162">
        <f t="shared" si="1"/>
        <v>32</v>
      </c>
      <c r="H49" s="162">
        <f t="shared" si="2"/>
        <v>30422.067732622221</v>
      </c>
      <c r="I49" s="162">
        <f t="shared" si="3"/>
        <v>52164.37773262088</v>
      </c>
      <c r="J49" s="166"/>
    </row>
    <row r="50" spans="1:10" x14ac:dyDescent="0.25">
      <c r="A50" s="141">
        <v>35</v>
      </c>
      <c r="B50" s="158">
        <v>42493</v>
      </c>
      <c r="C50" s="159">
        <v>42522</v>
      </c>
      <c r="D50" s="160">
        <v>9380682.4700000007</v>
      </c>
      <c r="E50" s="161">
        <v>22803.63000000082</v>
      </c>
      <c r="F50" s="162">
        <f t="shared" si="0"/>
        <v>9357878.8399999999</v>
      </c>
      <c r="G50" s="162">
        <f t="shared" si="1"/>
        <v>29</v>
      </c>
      <c r="H50" s="162">
        <f t="shared" si="2"/>
        <v>27506.245598144451</v>
      </c>
      <c r="I50" s="162">
        <f t="shared" si="3"/>
        <v>50309.87559814527</v>
      </c>
      <c r="J50" s="166"/>
    </row>
    <row r="51" spans="1:10" x14ac:dyDescent="0.25">
      <c r="A51" s="141">
        <v>36</v>
      </c>
      <c r="B51" s="158">
        <v>42522</v>
      </c>
      <c r="C51" s="159">
        <v>42552</v>
      </c>
      <c r="D51" s="160">
        <v>9357878.8399999999</v>
      </c>
      <c r="E51" s="161">
        <v>21888.070000000298</v>
      </c>
      <c r="F51" s="162">
        <f t="shared" si="0"/>
        <v>9335990.7699999996</v>
      </c>
      <c r="G51" s="162">
        <f t="shared" si="1"/>
        <v>30</v>
      </c>
      <c r="H51" s="162">
        <f t="shared" si="2"/>
        <v>28385.565814666668</v>
      </c>
      <c r="I51" s="162">
        <f t="shared" si="3"/>
        <v>50273.635814666966</v>
      </c>
      <c r="J51" s="166"/>
    </row>
    <row r="52" spans="1:10" x14ac:dyDescent="0.25">
      <c r="A52" s="141">
        <v>37</v>
      </c>
      <c r="B52" s="158">
        <v>42552</v>
      </c>
      <c r="C52" s="159">
        <v>42583</v>
      </c>
      <c r="D52" s="160">
        <v>9335990.7699999996</v>
      </c>
      <c r="E52" s="161">
        <v>22945.150000000373</v>
      </c>
      <c r="F52" s="162">
        <f t="shared" si="0"/>
        <v>9313045.6199999992</v>
      </c>
      <c r="G52" s="162">
        <f t="shared" si="1"/>
        <v>31</v>
      </c>
      <c r="H52" s="162">
        <f t="shared" si="2"/>
        <v>29263.144402411112</v>
      </c>
      <c r="I52" s="162">
        <f t="shared" si="3"/>
        <v>52208.294402411484</v>
      </c>
      <c r="J52" s="138"/>
    </row>
    <row r="53" spans="1:10" x14ac:dyDescent="0.25">
      <c r="A53" s="141">
        <f>A52+1</f>
        <v>38</v>
      </c>
      <c r="B53" s="158">
        <v>42583</v>
      </c>
      <c r="C53" s="159">
        <v>42614</v>
      </c>
      <c r="D53" s="160">
        <v>9313045.6199999992</v>
      </c>
      <c r="E53" s="161">
        <v>22034.779999999329</v>
      </c>
      <c r="F53" s="162">
        <f t="shared" si="0"/>
        <v>9291010.8399999999</v>
      </c>
      <c r="G53" s="162">
        <f t="shared" si="1"/>
        <v>31</v>
      </c>
      <c r="H53" s="162">
        <f t="shared" si="2"/>
        <v>29191.224104466666</v>
      </c>
      <c r="I53" s="162">
        <f t="shared" si="3"/>
        <v>51226.004104465996</v>
      </c>
      <c r="J53" s="138"/>
    </row>
    <row r="54" spans="1:10" x14ac:dyDescent="0.25">
      <c r="A54" s="141">
        <f t="shared" ref="A54:A99" si="4">A53+1</f>
        <v>39</v>
      </c>
      <c r="B54" s="158">
        <v>42614</v>
      </c>
      <c r="C54" s="159">
        <v>42646</v>
      </c>
      <c r="D54" s="160">
        <v>9291010.8399999999</v>
      </c>
      <c r="E54" s="161">
        <v>22106.86999999918</v>
      </c>
      <c r="F54" s="162">
        <f t="shared" si="0"/>
        <v>9268903.9700000007</v>
      </c>
      <c r="G54" s="162">
        <f t="shared" si="1"/>
        <v>32</v>
      </c>
      <c r="H54" s="162">
        <f t="shared" si="2"/>
        <v>30061.581740088892</v>
      </c>
      <c r="I54" s="162">
        <f t="shared" si="3"/>
        <v>52168.451740088072</v>
      </c>
      <c r="J54" s="138"/>
    </row>
    <row r="55" spans="1:10" x14ac:dyDescent="0.25">
      <c r="A55" s="141">
        <f t="shared" si="4"/>
        <v>40</v>
      </c>
      <c r="B55" s="158">
        <v>42646</v>
      </c>
      <c r="C55" s="159">
        <v>42675</v>
      </c>
      <c r="D55" s="160">
        <v>9268903.9700000007</v>
      </c>
      <c r="E55" s="161">
        <v>23157.60000000149</v>
      </c>
      <c r="F55" s="162">
        <f t="shared" si="0"/>
        <v>9245746.3699999992</v>
      </c>
      <c r="G55" s="162">
        <f t="shared" si="1"/>
        <v>29</v>
      </c>
      <c r="H55" s="162">
        <f t="shared" si="2"/>
        <v>27178.486196477781</v>
      </c>
      <c r="I55" s="162">
        <f t="shared" si="3"/>
        <v>50336.086196479271</v>
      </c>
      <c r="J55" s="138"/>
    </row>
    <row r="56" spans="1:10" x14ac:dyDescent="0.25">
      <c r="A56" s="141">
        <f t="shared" si="4"/>
        <v>41</v>
      </c>
      <c r="B56" s="158">
        <v>42675</v>
      </c>
      <c r="C56" s="159">
        <v>42705</v>
      </c>
      <c r="D56" s="160">
        <v>9245746.3699999992</v>
      </c>
      <c r="E56" s="161">
        <v>22254.989999998361</v>
      </c>
      <c r="F56" s="162">
        <f t="shared" si="0"/>
        <v>9223491.3800000008</v>
      </c>
      <c r="G56" s="162">
        <f t="shared" si="1"/>
        <v>30</v>
      </c>
      <c r="H56" s="162">
        <f t="shared" si="2"/>
        <v>28045.430655666663</v>
      </c>
      <c r="I56" s="162">
        <f t="shared" si="3"/>
        <v>50300.420655665024</v>
      </c>
      <c r="J56" s="138"/>
    </row>
    <row r="57" spans="1:10" x14ac:dyDescent="0.25">
      <c r="A57" s="141">
        <f t="shared" si="4"/>
        <v>42</v>
      </c>
      <c r="B57" s="158">
        <v>42705</v>
      </c>
      <c r="C57" s="159">
        <v>42738</v>
      </c>
      <c r="D57" s="160">
        <v>9223491.3800000008</v>
      </c>
      <c r="E57" s="161">
        <v>23301.400000000373</v>
      </c>
      <c r="F57" s="162">
        <f t="shared" si="0"/>
        <v>9200189.9800000004</v>
      </c>
      <c r="G57" s="162">
        <f t="shared" si="1"/>
        <v>33</v>
      </c>
      <c r="H57" s="162">
        <f t="shared" si="2"/>
        <v>30775.716237933335</v>
      </c>
      <c r="I57" s="162">
        <f t="shared" si="3"/>
        <v>54077.116237933704</v>
      </c>
      <c r="J57" s="138"/>
    </row>
    <row r="58" spans="1:10" x14ac:dyDescent="0.25">
      <c r="A58" s="141">
        <f t="shared" si="4"/>
        <v>43</v>
      </c>
      <c r="B58" s="158">
        <v>42738</v>
      </c>
      <c r="C58" s="159">
        <v>42767</v>
      </c>
      <c r="D58" s="160">
        <v>9200189.9800000004</v>
      </c>
      <c r="E58" s="161">
        <v>22404.060000000522</v>
      </c>
      <c r="F58" s="162">
        <f t="shared" si="0"/>
        <v>9177785.9199999999</v>
      </c>
      <c r="G58" s="162">
        <f t="shared" si="1"/>
        <v>29</v>
      </c>
      <c r="H58" s="162">
        <f t="shared" si="2"/>
        <v>26977.001508022226</v>
      </c>
      <c r="I58" s="162">
        <f t="shared" si="3"/>
        <v>49381.061508022744</v>
      </c>
      <c r="J58" s="138"/>
    </row>
    <row r="59" spans="1:10" x14ac:dyDescent="0.25">
      <c r="A59" s="141">
        <f t="shared" si="4"/>
        <v>44</v>
      </c>
      <c r="B59" s="158">
        <v>42767</v>
      </c>
      <c r="C59" s="159">
        <v>42795</v>
      </c>
      <c r="D59" s="160">
        <v>9177785.9199999999</v>
      </c>
      <c r="E59" s="161">
        <v>22477.36999999918</v>
      </c>
      <c r="F59" s="162">
        <f t="shared" si="0"/>
        <v>9155308.5500000007</v>
      </c>
      <c r="G59" s="162">
        <f t="shared" si="1"/>
        <v>28</v>
      </c>
      <c r="H59" s="162">
        <f t="shared" si="2"/>
        <v>25983.331693511111</v>
      </c>
      <c r="I59" s="162">
        <f t="shared" si="3"/>
        <v>48460.701693510287</v>
      </c>
      <c r="J59" s="138"/>
    </row>
    <row r="60" spans="1:10" x14ac:dyDescent="0.25">
      <c r="A60" s="141">
        <f t="shared" si="4"/>
        <v>45</v>
      </c>
      <c r="B60" s="158">
        <v>42795</v>
      </c>
      <c r="C60" s="159">
        <v>42828</v>
      </c>
      <c r="D60" s="160">
        <v>9155308.5500000007</v>
      </c>
      <c r="E60" s="161">
        <v>25450.110000001267</v>
      </c>
      <c r="F60" s="162">
        <f t="shared" si="0"/>
        <v>9129858.4399999995</v>
      </c>
      <c r="G60" s="162">
        <f t="shared" si="1"/>
        <v>33</v>
      </c>
      <c r="H60" s="162">
        <f t="shared" si="2"/>
        <v>30548.212861833334</v>
      </c>
      <c r="I60" s="162">
        <f t="shared" si="3"/>
        <v>55998.322861834604</v>
      </c>
      <c r="J60" s="138"/>
    </row>
    <row r="61" spans="1:10" x14ac:dyDescent="0.25">
      <c r="A61" s="141">
        <f t="shared" si="4"/>
        <v>46</v>
      </c>
      <c r="B61" s="158">
        <v>42828</v>
      </c>
      <c r="C61" s="159">
        <v>42857</v>
      </c>
      <c r="D61" s="160">
        <v>9129858.4399999995</v>
      </c>
      <c r="E61" s="161">
        <v>22634.199999999255</v>
      </c>
      <c r="F61" s="162">
        <f t="shared" si="0"/>
        <v>9107224.2400000002</v>
      </c>
      <c r="G61" s="162">
        <f t="shared" si="1"/>
        <v>29</v>
      </c>
      <c r="H61" s="162">
        <f t="shared" si="2"/>
        <v>26770.773803511114</v>
      </c>
      <c r="I61" s="162">
        <f t="shared" si="3"/>
        <v>49404.973803510366</v>
      </c>
      <c r="J61" s="138"/>
    </row>
    <row r="62" spans="1:10" x14ac:dyDescent="0.25">
      <c r="A62" s="141">
        <f t="shared" si="4"/>
        <v>47</v>
      </c>
      <c r="B62" s="158">
        <v>42857</v>
      </c>
      <c r="C62" s="159">
        <v>42887</v>
      </c>
      <c r="D62" s="160">
        <v>9107224.2400000002</v>
      </c>
      <c r="E62" s="161">
        <v>23669.580000000075</v>
      </c>
      <c r="F62" s="162">
        <f t="shared" si="0"/>
        <v>9083554.6600000001</v>
      </c>
      <c r="G62" s="162">
        <f t="shared" si="1"/>
        <v>30</v>
      </c>
      <c r="H62" s="162">
        <f t="shared" si="2"/>
        <v>27625.246861333333</v>
      </c>
      <c r="I62" s="162">
        <f t="shared" si="3"/>
        <v>51294.826861333408</v>
      </c>
      <c r="J62" s="138"/>
    </row>
    <row r="63" spans="1:10" x14ac:dyDescent="0.25">
      <c r="A63" s="141">
        <f t="shared" si="4"/>
        <v>48</v>
      </c>
      <c r="B63" s="158">
        <v>42887</v>
      </c>
      <c r="C63" s="159">
        <v>42919</v>
      </c>
      <c r="D63" s="160">
        <v>9083554.6600000001</v>
      </c>
      <c r="E63" s="161">
        <v>22785.720000000671</v>
      </c>
      <c r="F63" s="162">
        <f t="shared" si="0"/>
        <v>9060768.9399999995</v>
      </c>
      <c r="G63" s="162">
        <f t="shared" si="1"/>
        <v>32</v>
      </c>
      <c r="H63" s="162">
        <f t="shared" si="2"/>
        <v>29390.345744355556</v>
      </c>
      <c r="I63" s="162">
        <f t="shared" si="3"/>
        <v>52176.065744356223</v>
      </c>
      <c r="J63" s="138"/>
    </row>
    <row r="64" spans="1:10" x14ac:dyDescent="0.25">
      <c r="A64" s="141">
        <f t="shared" si="4"/>
        <v>49</v>
      </c>
      <c r="B64" s="158">
        <v>42919</v>
      </c>
      <c r="C64" s="159">
        <v>42948</v>
      </c>
      <c r="D64" s="160">
        <v>9060768.9399999995</v>
      </c>
      <c r="E64" s="161">
        <v>23816.689999999478</v>
      </c>
      <c r="F64" s="162">
        <f t="shared" si="0"/>
        <v>9036952.25</v>
      </c>
      <c r="G64" s="162">
        <f t="shared" si="1"/>
        <v>29</v>
      </c>
      <c r="H64" s="162">
        <f t="shared" si="2"/>
        <v>26568.188036288891</v>
      </c>
      <c r="I64" s="162">
        <f t="shared" si="3"/>
        <v>50384.87803628837</v>
      </c>
      <c r="J64" s="138"/>
    </row>
    <row r="65" spans="1:10" x14ac:dyDescent="0.25">
      <c r="A65" s="141">
        <f t="shared" si="4"/>
        <v>50</v>
      </c>
      <c r="B65" s="158">
        <v>42948</v>
      </c>
      <c r="C65" s="159">
        <v>42979</v>
      </c>
      <c r="D65" s="160">
        <v>9036952.25</v>
      </c>
      <c r="E65" s="161">
        <v>22938.210000000894</v>
      </c>
      <c r="F65" s="162">
        <f t="shared" si="0"/>
        <v>9014014.0399999991</v>
      </c>
      <c r="G65" s="162">
        <f t="shared" si="1"/>
        <v>31</v>
      </c>
      <c r="H65" s="162">
        <f t="shared" si="2"/>
        <v>28325.824774722223</v>
      </c>
      <c r="I65" s="162">
        <f t="shared" si="3"/>
        <v>51264.034774723114</v>
      </c>
      <c r="J65" s="138"/>
    </row>
    <row r="66" spans="1:10" x14ac:dyDescent="0.25">
      <c r="A66" s="141">
        <f t="shared" si="4"/>
        <v>51</v>
      </c>
      <c r="B66" s="158">
        <v>42979</v>
      </c>
      <c r="C66" s="159">
        <v>43010</v>
      </c>
      <c r="D66" s="160">
        <v>9014014.0399999991</v>
      </c>
      <c r="E66" s="161">
        <v>23013.269999999553</v>
      </c>
      <c r="F66" s="162">
        <f t="shared" si="0"/>
        <v>8991000.7699999996</v>
      </c>
      <c r="G66" s="162">
        <f t="shared" si="1"/>
        <v>31</v>
      </c>
      <c r="H66" s="162">
        <f t="shared" si="2"/>
        <v>28253.92622982222</v>
      </c>
      <c r="I66" s="162">
        <f t="shared" si="3"/>
        <v>51267.19622982177</v>
      </c>
      <c r="J66" s="138"/>
    </row>
    <row r="67" spans="1:10" x14ac:dyDescent="0.25">
      <c r="A67" s="141">
        <f t="shared" si="4"/>
        <v>52</v>
      </c>
      <c r="B67" s="158">
        <v>43010</v>
      </c>
      <c r="C67" s="159">
        <v>43040</v>
      </c>
      <c r="D67" s="160">
        <v>8991000.7699999996</v>
      </c>
      <c r="E67" s="161">
        <v>24037.629999998957</v>
      </c>
      <c r="F67" s="162">
        <f t="shared" si="0"/>
        <v>8966963.1400000006</v>
      </c>
      <c r="G67" s="162">
        <f t="shared" si="1"/>
        <v>30</v>
      </c>
      <c r="H67" s="162">
        <f t="shared" si="2"/>
        <v>27272.702335666665</v>
      </c>
      <c r="I67" s="162">
        <f t="shared" si="3"/>
        <v>51310.332335665618</v>
      </c>
      <c r="J67" s="138"/>
    </row>
    <row r="68" spans="1:10" x14ac:dyDescent="0.25">
      <c r="A68" s="141">
        <f t="shared" si="4"/>
        <v>53</v>
      </c>
      <c r="B68" s="158">
        <v>43040</v>
      </c>
      <c r="C68" s="159">
        <v>43070</v>
      </c>
      <c r="D68" s="160">
        <v>8966963.1400000006</v>
      </c>
      <c r="E68" s="161">
        <v>23167.230000000447</v>
      </c>
      <c r="F68" s="162">
        <f t="shared" si="0"/>
        <v>8943795.9100000001</v>
      </c>
      <c r="G68" s="162">
        <f t="shared" si="1"/>
        <v>30</v>
      </c>
      <c r="H68" s="162">
        <f t="shared" si="2"/>
        <v>27199.788191333333</v>
      </c>
      <c r="I68" s="162">
        <f t="shared" si="3"/>
        <v>50367.01819133378</v>
      </c>
      <c r="J68" s="138"/>
    </row>
    <row r="69" spans="1:10" x14ac:dyDescent="0.25">
      <c r="A69" s="141">
        <f t="shared" si="4"/>
        <v>54</v>
      </c>
      <c r="B69" s="158">
        <v>43070</v>
      </c>
      <c r="C69" s="159">
        <v>43102</v>
      </c>
      <c r="D69" s="160">
        <v>8943795.9100000001</v>
      </c>
      <c r="E69" s="161">
        <v>24187.109999999404</v>
      </c>
      <c r="F69" s="162">
        <f t="shared" si="0"/>
        <v>8919608.8000000007</v>
      </c>
      <c r="G69" s="162">
        <f t="shared" si="1"/>
        <v>32</v>
      </c>
      <c r="H69" s="162">
        <f t="shared" si="2"/>
        <v>28938.148544355561</v>
      </c>
      <c r="I69" s="162">
        <f t="shared" si="3"/>
        <v>53125.258544354961</v>
      </c>
      <c r="J69" s="138"/>
    </row>
    <row r="70" spans="1:10" x14ac:dyDescent="0.25">
      <c r="A70" s="141">
        <f t="shared" si="4"/>
        <v>55</v>
      </c>
      <c r="B70" s="158">
        <v>43102</v>
      </c>
      <c r="C70" s="159">
        <v>43132</v>
      </c>
      <c r="D70" s="160">
        <v>8919608.8000000007</v>
      </c>
      <c r="E70" s="161">
        <v>23322.180000001565</v>
      </c>
      <c r="F70" s="162">
        <f t="shared" si="0"/>
        <v>8896286.6199999992</v>
      </c>
      <c r="G70" s="162">
        <f t="shared" si="1"/>
        <v>30</v>
      </c>
      <c r="H70" s="162">
        <f t="shared" si="2"/>
        <v>27056.146693333336</v>
      </c>
      <c r="I70" s="162">
        <f t="shared" si="3"/>
        <v>50378.3266933349</v>
      </c>
      <c r="J70" s="138"/>
    </row>
    <row r="71" spans="1:10" x14ac:dyDescent="0.25">
      <c r="A71" s="141">
        <f t="shared" si="4"/>
        <v>56</v>
      </c>
      <c r="B71" s="158">
        <v>43132</v>
      </c>
      <c r="C71" s="159">
        <v>43160</v>
      </c>
      <c r="D71" s="160">
        <v>8896286.6199999992</v>
      </c>
      <c r="E71" s="161">
        <v>23398.5</v>
      </c>
      <c r="F71" s="162">
        <f t="shared" si="0"/>
        <v>8872888.1199999992</v>
      </c>
      <c r="G71" s="162">
        <f t="shared" si="1"/>
        <v>28</v>
      </c>
      <c r="H71" s="162">
        <f t="shared" si="2"/>
        <v>25186.375897511109</v>
      </c>
      <c r="I71" s="162">
        <f t="shared" si="3"/>
        <v>48584.875897511112</v>
      </c>
      <c r="J71" s="138"/>
    </row>
    <row r="72" spans="1:10" x14ac:dyDescent="0.25">
      <c r="A72" s="141">
        <f t="shared" si="4"/>
        <v>57</v>
      </c>
      <c r="B72" s="158">
        <v>43160</v>
      </c>
      <c r="C72" s="159">
        <v>43193</v>
      </c>
      <c r="D72" s="160">
        <v>8872888.1199999992</v>
      </c>
      <c r="E72" s="161">
        <v>26284.809999998659</v>
      </c>
      <c r="F72" s="162">
        <f t="shared" si="0"/>
        <v>8846603.3100000005</v>
      </c>
      <c r="G72" s="162">
        <f t="shared" si="1"/>
        <v>33</v>
      </c>
      <c r="H72" s="162">
        <f t="shared" si="2"/>
        <v>29605.870027066663</v>
      </c>
      <c r="I72" s="162">
        <f t="shared" si="3"/>
        <v>55890.680027065318</v>
      </c>
      <c r="J72" s="138"/>
    </row>
    <row r="73" spans="1:10" x14ac:dyDescent="0.25">
      <c r="A73" s="141">
        <f t="shared" si="4"/>
        <v>58</v>
      </c>
      <c r="B73" s="158">
        <v>43193</v>
      </c>
      <c r="C73" s="159">
        <v>43221</v>
      </c>
      <c r="D73" s="160">
        <v>8846603.3100000005</v>
      </c>
      <c r="E73" s="161">
        <v>23561.080000000075</v>
      </c>
      <c r="F73" s="162">
        <f t="shared" si="0"/>
        <v>8823042.2300000004</v>
      </c>
      <c r="G73" s="162">
        <f t="shared" si="1"/>
        <v>28</v>
      </c>
      <c r="H73" s="162">
        <f t="shared" si="2"/>
        <v>25045.71692653334</v>
      </c>
      <c r="I73" s="162">
        <f t="shared" si="3"/>
        <v>48606.79692653341</v>
      </c>
      <c r="J73" s="138"/>
    </row>
    <row r="74" spans="1:10" x14ac:dyDescent="0.25">
      <c r="A74" s="141">
        <f t="shared" si="4"/>
        <v>59</v>
      </c>
      <c r="B74" s="158">
        <v>43221</v>
      </c>
      <c r="C74" s="159">
        <v>43252</v>
      </c>
      <c r="D74" s="160">
        <v>8823042.2300000004</v>
      </c>
      <c r="E74" s="161">
        <v>24569.490000000224</v>
      </c>
      <c r="F74" s="162">
        <f t="shared" si="0"/>
        <v>8798472.7400000002</v>
      </c>
      <c r="G74" s="162">
        <f t="shared" si="1"/>
        <v>31</v>
      </c>
      <c r="H74" s="162">
        <f t="shared" si="2"/>
        <v>27655.335700922227</v>
      </c>
      <c r="I74" s="162">
        <f t="shared" si="3"/>
        <v>52224.825700922447</v>
      </c>
      <c r="J74" s="138"/>
    </row>
    <row r="75" spans="1:10" x14ac:dyDescent="0.25">
      <c r="A75" s="141">
        <f t="shared" si="4"/>
        <v>60</v>
      </c>
      <c r="B75" s="158">
        <v>43252</v>
      </c>
      <c r="C75" s="159">
        <v>43283</v>
      </c>
      <c r="D75" s="160">
        <v>8798472.7400000002</v>
      </c>
      <c r="E75" s="161">
        <v>23718.570000000298</v>
      </c>
      <c r="F75" s="162">
        <f t="shared" si="0"/>
        <v>8774754.1699999999</v>
      </c>
      <c r="G75" s="162">
        <f t="shared" si="1"/>
        <v>31</v>
      </c>
      <c r="H75" s="162">
        <f t="shared" si="2"/>
        <v>27578.32399948889</v>
      </c>
      <c r="I75" s="162">
        <f t="shared" si="3"/>
        <v>51296.893999489184</v>
      </c>
      <c r="J75" s="138"/>
    </row>
    <row r="76" spans="1:10" x14ac:dyDescent="0.25">
      <c r="A76" s="141">
        <f t="shared" si="4"/>
        <v>61</v>
      </c>
      <c r="B76" s="158">
        <v>43283</v>
      </c>
      <c r="C76" s="159">
        <v>43313</v>
      </c>
      <c r="D76" s="160">
        <v>8774754.1699999999</v>
      </c>
      <c r="E76" s="161">
        <v>24722.410000000149</v>
      </c>
      <c r="F76" s="162">
        <f t="shared" si="0"/>
        <v>8750031.7599999998</v>
      </c>
      <c r="G76" s="162">
        <f t="shared" si="1"/>
        <v>30</v>
      </c>
      <c r="H76" s="162">
        <f t="shared" si="2"/>
        <v>26616.754315666669</v>
      </c>
      <c r="I76" s="162">
        <f t="shared" si="3"/>
        <v>51339.164315666814</v>
      </c>
    </row>
    <row r="77" spans="1:10" x14ac:dyDescent="0.25">
      <c r="A77" s="141">
        <f t="shared" si="4"/>
        <v>62</v>
      </c>
      <c r="B77" s="158">
        <v>43313</v>
      </c>
      <c r="C77" s="159">
        <v>43347</v>
      </c>
      <c r="D77" s="160">
        <v>8750031.7599999998</v>
      </c>
      <c r="E77" s="161">
        <v>23877.070000000298</v>
      </c>
      <c r="F77" s="162">
        <f t="shared" si="0"/>
        <v>8726154.6899999995</v>
      </c>
      <c r="G77" s="162">
        <f t="shared" si="1"/>
        <v>34</v>
      </c>
      <c r="H77" s="162">
        <f t="shared" si="2"/>
        <v>30080.664739377775</v>
      </c>
      <c r="I77" s="162">
        <f t="shared" si="3"/>
        <v>53957.734739378073</v>
      </c>
    </row>
    <row r="78" spans="1:10" x14ac:dyDescent="0.25">
      <c r="A78" s="141">
        <f t="shared" si="4"/>
        <v>63</v>
      </c>
      <c r="B78" s="158">
        <v>43347</v>
      </c>
      <c r="C78" s="159">
        <v>43374</v>
      </c>
      <c r="D78" s="160">
        <v>8726154.6899999995</v>
      </c>
      <c r="E78" s="161">
        <v>23955.209999999031</v>
      </c>
      <c r="F78" s="162">
        <f t="shared" si="0"/>
        <v>8702199.4800000004</v>
      </c>
      <c r="G78" s="162">
        <f t="shared" si="1"/>
        <v>27</v>
      </c>
      <c r="H78" s="162">
        <f t="shared" si="2"/>
        <v>23822.402303700001</v>
      </c>
      <c r="I78" s="162">
        <f t="shared" si="3"/>
        <v>47777.612303699032</v>
      </c>
    </row>
    <row r="79" spans="1:10" x14ac:dyDescent="0.25">
      <c r="A79" s="141">
        <f t="shared" si="4"/>
        <v>64</v>
      </c>
      <c r="B79" s="158">
        <v>43374</v>
      </c>
      <c r="C79" s="159">
        <v>43405</v>
      </c>
      <c r="D79" s="160">
        <v>8702199.4800000004</v>
      </c>
      <c r="E79" s="161">
        <v>24952.169999999925</v>
      </c>
      <c r="F79" s="162">
        <f t="shared" si="0"/>
        <v>8677247.3100000005</v>
      </c>
      <c r="G79" s="162">
        <f t="shared" si="1"/>
        <v>31</v>
      </c>
      <c r="H79" s="162">
        <f t="shared" si="2"/>
        <v>27276.560814533335</v>
      </c>
      <c r="I79" s="162">
        <f t="shared" si="3"/>
        <v>52228.730814533264</v>
      </c>
    </row>
    <row r="80" spans="1:10" x14ac:dyDescent="0.25">
      <c r="A80" s="141">
        <f t="shared" si="4"/>
        <v>65</v>
      </c>
      <c r="B80" s="158">
        <v>43405</v>
      </c>
      <c r="C80" s="159">
        <v>43437</v>
      </c>
      <c r="D80" s="160">
        <v>8677247.3100000005</v>
      </c>
      <c r="E80" s="161">
        <v>24115.240000000224</v>
      </c>
      <c r="F80" s="162">
        <f t="shared" ref="F80:F99" si="5">D80-E80</f>
        <v>8653132.0700000003</v>
      </c>
      <c r="G80" s="162">
        <f t="shared" ref="G80:G99" si="6">C80-B80</f>
        <v>32</v>
      </c>
      <c r="H80" s="162">
        <f t="shared" ref="H80:H99" si="7">(D80*$C$12)*((C80-B80)/360)</f>
        <v>28075.715740800002</v>
      </c>
      <c r="I80" s="162">
        <f t="shared" ref="I80:I99" si="8">H80+E80</f>
        <v>52190.955740800229</v>
      </c>
    </row>
    <row r="81" spans="1:9" x14ac:dyDescent="0.25">
      <c r="A81" s="141">
        <f t="shared" si="4"/>
        <v>66</v>
      </c>
      <c r="B81" s="158">
        <v>43437</v>
      </c>
      <c r="C81" s="159">
        <v>43467</v>
      </c>
      <c r="D81" s="160">
        <v>8653132.0700000003</v>
      </c>
      <c r="E81" s="161">
        <v>25107.540000000969</v>
      </c>
      <c r="F81" s="162">
        <f t="shared" si="5"/>
        <v>8628024.5299999993</v>
      </c>
      <c r="G81" s="162">
        <f t="shared" si="6"/>
        <v>30</v>
      </c>
      <c r="H81" s="162">
        <f t="shared" si="7"/>
        <v>26247.833945666665</v>
      </c>
      <c r="I81" s="162">
        <f t="shared" si="8"/>
        <v>51355.373945667634</v>
      </c>
    </row>
    <row r="82" spans="1:9" x14ac:dyDescent="0.25">
      <c r="A82" s="141">
        <f t="shared" si="4"/>
        <v>67</v>
      </c>
      <c r="B82" s="158">
        <v>43467</v>
      </c>
      <c r="C82" s="159">
        <v>43497</v>
      </c>
      <c r="D82" s="160">
        <v>8628024.5299999993</v>
      </c>
      <c r="E82" s="161">
        <v>24276.319999998435</v>
      </c>
      <c r="F82" s="162">
        <f t="shared" si="5"/>
        <v>8603748.2100000009</v>
      </c>
      <c r="G82" s="162">
        <f t="shared" si="6"/>
        <v>30</v>
      </c>
      <c r="H82" s="162">
        <f t="shared" si="7"/>
        <v>26171.674407666666</v>
      </c>
      <c r="I82" s="162">
        <f t="shared" si="8"/>
        <v>50447.994407665101</v>
      </c>
    </row>
    <row r="83" spans="1:9" x14ac:dyDescent="0.25">
      <c r="A83" s="141">
        <f t="shared" si="4"/>
        <v>68</v>
      </c>
      <c r="B83" s="158">
        <v>43497</v>
      </c>
      <c r="C83" s="159">
        <v>43525</v>
      </c>
      <c r="D83" s="160">
        <v>8603748.2100000009</v>
      </c>
      <c r="E83" s="161">
        <v>24355.75</v>
      </c>
      <c r="F83" s="162">
        <f t="shared" si="5"/>
        <v>8579392.4600000009</v>
      </c>
      <c r="G83" s="162">
        <f t="shared" si="6"/>
        <v>28</v>
      </c>
      <c r="H83" s="162">
        <f t="shared" si="7"/>
        <v>24358.167154533337</v>
      </c>
      <c r="I83" s="162">
        <f t="shared" si="8"/>
        <v>48713.917154533337</v>
      </c>
    </row>
    <row r="84" spans="1:9" x14ac:dyDescent="0.25">
      <c r="A84" s="141">
        <f t="shared" si="4"/>
        <v>69</v>
      </c>
      <c r="B84" s="158">
        <v>43525</v>
      </c>
      <c r="C84" s="159">
        <v>43556</v>
      </c>
      <c r="D84" s="160">
        <v>8579392.4600000009</v>
      </c>
      <c r="E84" s="161">
        <v>27152.25</v>
      </c>
      <c r="F84" s="162">
        <f t="shared" si="5"/>
        <v>8552240.2100000009</v>
      </c>
      <c r="G84" s="162">
        <f t="shared" si="6"/>
        <v>31</v>
      </c>
      <c r="H84" s="162">
        <f t="shared" si="7"/>
        <v>26891.629032955563</v>
      </c>
      <c r="I84" s="162">
        <f t="shared" si="8"/>
        <v>54043.879032955563</v>
      </c>
    </row>
    <row r="85" spans="1:9" x14ac:dyDescent="0.25">
      <c r="A85" s="141">
        <f t="shared" si="4"/>
        <v>70</v>
      </c>
      <c r="B85" s="158">
        <v>43556</v>
      </c>
      <c r="C85" s="159">
        <v>43586</v>
      </c>
      <c r="D85" s="160">
        <v>8552240.2100000009</v>
      </c>
      <c r="E85" s="161">
        <v>24524.300000000745</v>
      </c>
      <c r="F85" s="162">
        <f t="shared" si="5"/>
        <v>8527715.9100000001</v>
      </c>
      <c r="G85" s="162">
        <f t="shared" si="6"/>
        <v>30</v>
      </c>
      <c r="H85" s="162">
        <f t="shared" si="7"/>
        <v>25941.795303666666</v>
      </c>
      <c r="I85" s="162">
        <f t="shared" si="8"/>
        <v>50466.095303667411</v>
      </c>
    </row>
    <row r="86" spans="1:9" x14ac:dyDescent="0.25">
      <c r="A86" s="141">
        <f t="shared" si="4"/>
        <v>71</v>
      </c>
      <c r="B86" s="158">
        <v>43586</v>
      </c>
      <c r="C86" s="159">
        <v>43619</v>
      </c>
      <c r="D86" s="160">
        <v>8527715.9100000001</v>
      </c>
      <c r="E86" s="161">
        <v>25504.689999999478</v>
      </c>
      <c r="F86" s="162">
        <f t="shared" si="5"/>
        <v>8502211.2200000007</v>
      </c>
      <c r="G86" s="162">
        <f t="shared" si="6"/>
        <v>33</v>
      </c>
      <c r="H86" s="162">
        <f t="shared" si="7"/>
        <v>28454.145419699998</v>
      </c>
      <c r="I86" s="162">
        <f t="shared" si="8"/>
        <v>53958.835419699477</v>
      </c>
    </row>
    <row r="87" spans="1:9" x14ac:dyDescent="0.25">
      <c r="A87" s="141">
        <f t="shared" si="4"/>
        <v>72</v>
      </c>
      <c r="B87" s="158">
        <v>43619</v>
      </c>
      <c r="C87" s="159">
        <v>43647</v>
      </c>
      <c r="D87" s="160">
        <v>8502211.2200000007</v>
      </c>
      <c r="E87" s="161">
        <v>24688</v>
      </c>
      <c r="F87" s="162">
        <f t="shared" si="5"/>
        <v>8477523.2200000007</v>
      </c>
      <c r="G87" s="162">
        <f t="shared" si="6"/>
        <v>28</v>
      </c>
      <c r="H87" s="162">
        <f t="shared" si="7"/>
        <v>24070.704653955559</v>
      </c>
      <c r="I87" s="162">
        <f t="shared" si="8"/>
        <v>48758.704653955559</v>
      </c>
    </row>
    <row r="88" spans="1:9" x14ac:dyDescent="0.25">
      <c r="A88" s="141">
        <f t="shared" si="4"/>
        <v>73</v>
      </c>
      <c r="B88" s="158">
        <v>43647</v>
      </c>
      <c r="C88" s="159">
        <v>43678</v>
      </c>
      <c r="D88" s="160">
        <v>8477523.2200000007</v>
      </c>
      <c r="E88" s="161">
        <v>25663.640000000596</v>
      </c>
      <c r="F88" s="162">
        <f t="shared" si="5"/>
        <v>8451859.5800000001</v>
      </c>
      <c r="G88" s="162">
        <f t="shared" si="6"/>
        <v>31</v>
      </c>
      <c r="H88" s="162">
        <f t="shared" si="7"/>
        <v>26572.325559577781</v>
      </c>
      <c r="I88" s="162">
        <f t="shared" si="8"/>
        <v>52235.965559578377</v>
      </c>
    </row>
    <row r="89" spans="1:9" x14ac:dyDescent="0.25">
      <c r="A89" s="141">
        <f t="shared" si="4"/>
        <v>74</v>
      </c>
      <c r="B89" s="158">
        <v>43678</v>
      </c>
      <c r="C89" s="159">
        <v>43711</v>
      </c>
      <c r="D89" s="160">
        <v>8451859.5800000001</v>
      </c>
      <c r="E89" s="161">
        <v>24852.769999999553</v>
      </c>
      <c r="F89" s="162">
        <f t="shared" si="5"/>
        <v>8427006.8100000005</v>
      </c>
      <c r="G89" s="162">
        <f t="shared" si="6"/>
        <v>33</v>
      </c>
      <c r="H89" s="162">
        <f t="shared" si="7"/>
        <v>28201.038131933336</v>
      </c>
      <c r="I89" s="162">
        <f t="shared" si="8"/>
        <v>53053.808131932892</v>
      </c>
    </row>
    <row r="90" spans="1:9" x14ac:dyDescent="0.25">
      <c r="A90" s="141">
        <f t="shared" si="4"/>
        <v>75</v>
      </c>
      <c r="B90" s="158">
        <v>43711</v>
      </c>
      <c r="C90" s="159">
        <v>43739</v>
      </c>
      <c r="D90" s="160">
        <v>8427006.8100000005</v>
      </c>
      <c r="E90" s="161">
        <v>24934.080000000075</v>
      </c>
      <c r="F90" s="162">
        <f t="shared" si="5"/>
        <v>8402072.7300000004</v>
      </c>
      <c r="G90" s="162">
        <f t="shared" si="6"/>
        <v>28</v>
      </c>
      <c r="H90" s="162">
        <f t="shared" si="7"/>
        <v>23857.792613200007</v>
      </c>
      <c r="I90" s="162">
        <f t="shared" si="8"/>
        <v>48791.872613200081</v>
      </c>
    </row>
    <row r="91" spans="1:9" x14ac:dyDescent="0.25">
      <c r="A91" s="141">
        <f t="shared" si="4"/>
        <v>76</v>
      </c>
      <c r="B91" s="158">
        <v>43739</v>
      </c>
      <c r="C91" s="159">
        <v>43770</v>
      </c>
      <c r="D91" s="160">
        <v>8402072.7300000004</v>
      </c>
      <c r="E91" s="161">
        <v>25902.570000000298</v>
      </c>
      <c r="F91" s="162">
        <f t="shared" si="5"/>
        <v>8376170.1600000001</v>
      </c>
      <c r="G91" s="162">
        <f t="shared" si="6"/>
        <v>31</v>
      </c>
      <c r="H91" s="162">
        <f t="shared" si="7"/>
        <v>26335.830190366669</v>
      </c>
      <c r="I91" s="162">
        <f t="shared" si="8"/>
        <v>52238.40019036697</v>
      </c>
    </row>
    <row r="92" spans="1:9" x14ac:dyDescent="0.25">
      <c r="A92" s="141">
        <f t="shared" si="4"/>
        <v>77</v>
      </c>
      <c r="B92" s="158">
        <v>43770</v>
      </c>
      <c r="C92" s="159">
        <v>43801</v>
      </c>
      <c r="D92" s="160">
        <v>8376170.1600000001</v>
      </c>
      <c r="E92" s="161">
        <v>25100.429999999702</v>
      </c>
      <c r="F92" s="162">
        <f t="shared" si="5"/>
        <v>8351069.7300000004</v>
      </c>
      <c r="G92" s="162">
        <f t="shared" si="6"/>
        <v>31</v>
      </c>
      <c r="H92" s="162">
        <f t="shared" si="7"/>
        <v>26254.640023733336</v>
      </c>
      <c r="I92" s="162">
        <f t="shared" si="8"/>
        <v>51355.070023733038</v>
      </c>
    </row>
    <row r="93" spans="1:9" x14ac:dyDescent="0.25">
      <c r="A93" s="141">
        <f t="shared" si="4"/>
        <v>78</v>
      </c>
      <c r="B93" s="158">
        <v>43801</v>
      </c>
      <c r="C93" s="159">
        <v>43832</v>
      </c>
      <c r="D93" s="160">
        <v>8351069.7300000004</v>
      </c>
      <c r="E93" s="161">
        <v>26064.080000000075</v>
      </c>
      <c r="F93" s="162">
        <f t="shared" si="5"/>
        <v>8325005.6500000004</v>
      </c>
      <c r="G93" s="162">
        <f t="shared" si="6"/>
        <v>31</v>
      </c>
      <c r="H93" s="162">
        <f t="shared" si="7"/>
        <v>26175.964120366672</v>
      </c>
      <c r="I93" s="162">
        <f t="shared" si="8"/>
        <v>52240.044120366743</v>
      </c>
    </row>
    <row r="94" spans="1:9" x14ac:dyDescent="0.25">
      <c r="A94" s="141">
        <f t="shared" si="4"/>
        <v>79</v>
      </c>
      <c r="B94" s="158">
        <v>43832</v>
      </c>
      <c r="C94" s="159">
        <v>43864</v>
      </c>
      <c r="D94" s="160">
        <v>8325005.6500000004</v>
      </c>
      <c r="E94" s="161">
        <v>25267.850000000559</v>
      </c>
      <c r="F94" s="162">
        <f t="shared" si="5"/>
        <v>8299737.7999999998</v>
      </c>
      <c r="G94" s="162">
        <f t="shared" si="6"/>
        <v>32</v>
      </c>
      <c r="H94" s="162">
        <f t="shared" si="7"/>
        <v>26936.018280888893</v>
      </c>
      <c r="I94" s="162">
        <f t="shared" si="8"/>
        <v>52203.868280889452</v>
      </c>
    </row>
    <row r="95" spans="1:9" x14ac:dyDescent="0.25">
      <c r="A95" s="141">
        <f t="shared" si="4"/>
        <v>80</v>
      </c>
      <c r="B95" s="158">
        <v>43864</v>
      </c>
      <c r="C95" s="159">
        <v>43892</v>
      </c>
      <c r="D95" s="160">
        <v>8299737.7999999998</v>
      </c>
      <c r="E95" s="161">
        <v>25350.540000000037</v>
      </c>
      <c r="F95" s="162">
        <f t="shared" si="5"/>
        <v>8274387.2599999998</v>
      </c>
      <c r="G95" s="162">
        <f t="shared" si="6"/>
        <v>28</v>
      </c>
      <c r="H95" s="162">
        <f t="shared" si="7"/>
        <v>23497.479904888893</v>
      </c>
      <c r="I95" s="162">
        <f t="shared" si="8"/>
        <v>48848.019904888934</v>
      </c>
    </row>
    <row r="96" spans="1:9" x14ac:dyDescent="0.25">
      <c r="A96" s="141">
        <f t="shared" si="4"/>
        <v>81</v>
      </c>
      <c r="B96" s="158">
        <v>43892</v>
      </c>
      <c r="C96" s="159">
        <v>43922</v>
      </c>
      <c r="D96" s="160">
        <v>8274387.2599999998</v>
      </c>
      <c r="E96" s="161">
        <v>27180.30999999959</v>
      </c>
      <c r="F96" s="162">
        <f t="shared" si="5"/>
        <v>8247206.9500000002</v>
      </c>
      <c r="G96" s="162">
        <f t="shared" si="6"/>
        <v>30</v>
      </c>
      <c r="H96" s="162">
        <f t="shared" si="7"/>
        <v>25098.974688666669</v>
      </c>
      <c r="I96" s="162">
        <f t="shared" si="8"/>
        <v>52279.284688666259</v>
      </c>
    </row>
    <row r="97" spans="1:9" x14ac:dyDescent="0.25">
      <c r="A97" s="141">
        <f t="shared" si="4"/>
        <v>82</v>
      </c>
      <c r="B97" s="158">
        <v>43922</v>
      </c>
      <c r="C97" s="159">
        <v>43952</v>
      </c>
      <c r="D97" s="160">
        <v>8247206.9500000002</v>
      </c>
      <c r="E97" s="161">
        <v>25522.44000000041</v>
      </c>
      <c r="F97" s="162">
        <f t="shared" si="5"/>
        <v>8221684.5099999998</v>
      </c>
      <c r="G97" s="162">
        <f t="shared" si="6"/>
        <v>30</v>
      </c>
      <c r="H97" s="162">
        <f t="shared" si="7"/>
        <v>25016.527748333334</v>
      </c>
      <c r="I97" s="162">
        <f t="shared" si="8"/>
        <v>50538.967748333744</v>
      </c>
    </row>
    <row r="98" spans="1:9" x14ac:dyDescent="0.25">
      <c r="A98" s="141">
        <f t="shared" si="4"/>
        <v>83</v>
      </c>
      <c r="B98" s="158">
        <v>43952</v>
      </c>
      <c r="C98" s="159">
        <v>43983</v>
      </c>
      <c r="D98" s="160">
        <v>8221684.5099999998</v>
      </c>
      <c r="E98" s="161">
        <v>26473.790000000037</v>
      </c>
      <c r="F98" s="162">
        <f t="shared" si="5"/>
        <v>8195210.7199999997</v>
      </c>
      <c r="G98" s="162">
        <f t="shared" si="6"/>
        <v>31</v>
      </c>
      <c r="H98" s="162">
        <f t="shared" si="7"/>
        <v>25770.413336344445</v>
      </c>
      <c r="I98" s="162">
        <f t="shared" si="8"/>
        <v>52244.203336344479</v>
      </c>
    </row>
    <row r="99" spans="1:9" x14ac:dyDescent="0.25">
      <c r="A99" s="141">
        <f t="shared" si="4"/>
        <v>84</v>
      </c>
      <c r="B99" s="158">
        <v>43983</v>
      </c>
      <c r="C99" s="159">
        <v>44013</v>
      </c>
      <c r="D99" s="160">
        <v>8195210.7199999997</v>
      </c>
      <c r="E99" s="161">
        <v>8195210.7199999997</v>
      </c>
      <c r="F99" s="162">
        <f t="shared" si="5"/>
        <v>0</v>
      </c>
      <c r="G99" s="162">
        <f t="shared" si="6"/>
        <v>30</v>
      </c>
      <c r="H99" s="162">
        <f t="shared" si="7"/>
        <v>24858.805850666664</v>
      </c>
      <c r="I99" s="162">
        <f t="shared" si="8"/>
        <v>8220069.5258506667</v>
      </c>
    </row>
    <row r="100" spans="1:9" x14ac:dyDescent="0.25">
      <c r="A100" s="141"/>
      <c r="B100" s="158"/>
      <c r="C100" s="159"/>
      <c r="D100" s="160"/>
      <c r="E100" s="161"/>
      <c r="F100" s="162"/>
      <c r="G100" s="162"/>
      <c r="H100" s="162"/>
      <c r="I100" s="162"/>
    </row>
    <row r="101" spans="1:9" x14ac:dyDescent="0.25">
      <c r="A101" s="141"/>
      <c r="B101" s="158"/>
      <c r="C101" s="159"/>
      <c r="D101" s="160"/>
      <c r="E101" s="161"/>
      <c r="F101" s="162"/>
      <c r="G101" s="162"/>
      <c r="H101" s="162"/>
      <c r="I101" s="162"/>
    </row>
    <row r="102" spans="1:9" x14ac:dyDescent="0.25">
      <c r="A102" s="141"/>
      <c r="B102" s="158"/>
      <c r="C102" s="159"/>
      <c r="D102" s="160"/>
      <c r="E102" s="161"/>
      <c r="F102" s="162"/>
      <c r="G102" s="162"/>
      <c r="H102" s="162"/>
      <c r="I102" s="162"/>
    </row>
    <row r="103" spans="1:9" x14ac:dyDescent="0.25">
      <c r="A103" s="141"/>
      <c r="B103" s="158"/>
      <c r="C103" s="159"/>
      <c r="D103" s="160"/>
      <c r="E103" s="161"/>
      <c r="F103" s="162"/>
      <c r="G103" s="162"/>
      <c r="H103" s="162"/>
      <c r="I103" s="162"/>
    </row>
    <row r="104" spans="1:9" x14ac:dyDescent="0.25">
      <c r="A104" s="141"/>
      <c r="B104" s="158"/>
      <c r="C104" s="159"/>
      <c r="D104" s="160"/>
      <c r="E104" s="161"/>
      <c r="F104" s="162"/>
      <c r="G104" s="162"/>
      <c r="H104" s="162"/>
      <c r="I104" s="162"/>
    </row>
    <row r="105" spans="1:9" x14ac:dyDescent="0.25">
      <c r="A105" s="141"/>
      <c r="B105" s="158"/>
      <c r="C105" s="159"/>
      <c r="D105" s="160"/>
      <c r="E105" s="161"/>
      <c r="F105" s="162"/>
      <c r="G105" s="162"/>
      <c r="H105" s="162"/>
      <c r="I105" s="162"/>
    </row>
    <row r="106" spans="1:9" x14ac:dyDescent="0.25">
      <c r="A106" s="141"/>
      <c r="B106" s="158"/>
      <c r="C106" s="159"/>
      <c r="D106" s="160"/>
      <c r="E106" s="161"/>
      <c r="F106" s="162"/>
      <c r="G106" s="162"/>
      <c r="H106" s="162"/>
      <c r="I106" s="162"/>
    </row>
    <row r="107" spans="1:9" x14ac:dyDescent="0.25">
      <c r="A107" s="141"/>
      <c r="B107" s="158"/>
      <c r="C107" s="159"/>
      <c r="D107" s="160"/>
      <c r="E107" s="161"/>
      <c r="F107" s="162"/>
      <c r="G107" s="162"/>
      <c r="H107" s="162"/>
      <c r="I107" s="162"/>
    </row>
    <row r="108" spans="1:9" x14ac:dyDescent="0.25">
      <c r="A108" s="141"/>
      <c r="B108" s="158"/>
      <c r="C108" s="159"/>
      <c r="D108" s="160"/>
      <c r="E108" s="161"/>
      <c r="F108" s="162"/>
      <c r="G108" s="162"/>
      <c r="H108" s="162"/>
      <c r="I108" s="162"/>
    </row>
    <row r="109" spans="1:9" x14ac:dyDescent="0.25">
      <c r="A109" s="141"/>
      <c r="B109" s="158"/>
      <c r="C109" s="159"/>
      <c r="D109" s="160"/>
      <c r="E109" s="161"/>
      <c r="F109" s="162"/>
      <c r="G109" s="162"/>
      <c r="H109" s="162"/>
      <c r="I109" s="162"/>
    </row>
    <row r="110" spans="1:9" x14ac:dyDescent="0.25">
      <c r="A110" s="141"/>
      <c r="B110" s="158"/>
      <c r="C110" s="159"/>
      <c r="D110" s="160"/>
      <c r="E110" s="161"/>
      <c r="F110" s="162"/>
      <c r="G110" s="162"/>
      <c r="H110" s="162"/>
      <c r="I110" s="162"/>
    </row>
    <row r="111" spans="1:9" x14ac:dyDescent="0.25">
      <c r="A111" s="141"/>
      <c r="B111" s="158"/>
      <c r="C111" s="159"/>
      <c r="D111" s="160"/>
      <c r="E111" s="161"/>
      <c r="F111" s="162"/>
      <c r="G111" s="162"/>
      <c r="H111" s="162"/>
      <c r="I111" s="162"/>
    </row>
    <row r="112" spans="1:9" x14ac:dyDescent="0.25">
      <c r="A112" s="141"/>
      <c r="B112" s="158"/>
      <c r="C112" s="159"/>
      <c r="D112" s="160"/>
      <c r="E112" s="161"/>
      <c r="F112" s="162"/>
      <c r="G112" s="162"/>
      <c r="H112" s="162"/>
      <c r="I112" s="162"/>
    </row>
    <row r="113" spans="1:9" x14ac:dyDescent="0.25">
      <c r="A113" s="141"/>
      <c r="B113" s="158"/>
      <c r="C113" s="159"/>
      <c r="D113" s="160"/>
      <c r="E113" s="161"/>
      <c r="F113" s="162"/>
      <c r="G113" s="162"/>
      <c r="H113" s="162"/>
      <c r="I113" s="162"/>
    </row>
    <row r="114" spans="1:9" x14ac:dyDescent="0.25">
      <c r="A114" s="141"/>
      <c r="B114" s="158"/>
      <c r="C114" s="159"/>
      <c r="D114" s="160"/>
      <c r="E114" s="161"/>
      <c r="F114" s="162"/>
      <c r="G114" s="162"/>
      <c r="H114" s="162"/>
      <c r="I114" s="162"/>
    </row>
    <row r="115" spans="1:9" x14ac:dyDescent="0.25">
      <c r="A115" s="141"/>
      <c r="B115" s="158"/>
      <c r="C115" s="159"/>
      <c r="D115" s="160"/>
      <c r="E115" s="161"/>
      <c r="F115" s="162"/>
      <c r="G115" s="162"/>
      <c r="H115" s="162"/>
      <c r="I115" s="162"/>
    </row>
    <row r="116" spans="1:9" x14ac:dyDescent="0.25">
      <c r="A116" s="141"/>
      <c r="B116" s="158"/>
      <c r="C116" s="159"/>
      <c r="D116" s="160"/>
      <c r="E116" s="161"/>
      <c r="F116" s="162"/>
      <c r="G116" s="162"/>
      <c r="H116" s="162"/>
      <c r="I116" s="162"/>
    </row>
    <row r="117" spans="1:9" x14ac:dyDescent="0.25">
      <c r="A117" s="141"/>
      <c r="B117" s="158"/>
      <c r="C117" s="159"/>
      <c r="D117" s="160"/>
      <c r="E117" s="161"/>
      <c r="F117" s="162"/>
      <c r="G117" s="162"/>
      <c r="H117" s="162"/>
      <c r="I117" s="162"/>
    </row>
    <row r="118" spans="1:9" x14ac:dyDescent="0.25">
      <c r="A118" s="141"/>
      <c r="B118" s="158"/>
      <c r="C118" s="159"/>
      <c r="D118" s="160"/>
      <c r="E118" s="161"/>
      <c r="F118" s="162"/>
      <c r="G118" s="162"/>
      <c r="H118" s="162"/>
      <c r="I118" s="162"/>
    </row>
    <row r="119" spans="1:9" x14ac:dyDescent="0.25">
      <c r="A119" s="141"/>
      <c r="B119" s="158"/>
      <c r="C119" s="159"/>
      <c r="D119" s="160"/>
      <c r="E119" s="161"/>
      <c r="F119" s="162"/>
      <c r="G119" s="162"/>
      <c r="H119" s="162"/>
      <c r="I119" s="162"/>
    </row>
    <row r="120" spans="1:9" x14ac:dyDescent="0.25">
      <c r="A120" s="141"/>
      <c r="B120" s="158"/>
      <c r="C120" s="159"/>
      <c r="D120" s="160"/>
      <c r="E120" s="161"/>
      <c r="F120" s="162"/>
      <c r="G120" s="162"/>
      <c r="H120" s="162"/>
      <c r="I120" s="162"/>
    </row>
    <row r="121" spans="1:9" x14ac:dyDescent="0.25">
      <c r="A121" s="141"/>
      <c r="B121" s="158"/>
      <c r="C121" s="159"/>
      <c r="D121" s="160"/>
      <c r="E121" s="161"/>
      <c r="F121" s="162"/>
      <c r="G121" s="162"/>
      <c r="H121" s="162"/>
      <c r="I121" s="162"/>
    </row>
    <row r="122" spans="1:9" x14ac:dyDescent="0.25">
      <c r="A122" s="141"/>
      <c r="B122" s="158"/>
      <c r="C122" s="159"/>
      <c r="D122" s="160"/>
      <c r="E122" s="161"/>
      <c r="F122" s="162"/>
      <c r="G122" s="162"/>
      <c r="H122" s="162"/>
      <c r="I122" s="162"/>
    </row>
    <row r="123" spans="1:9" x14ac:dyDescent="0.25">
      <c r="A123" s="141"/>
      <c r="B123" s="158"/>
      <c r="C123" s="159"/>
      <c r="D123" s="160"/>
      <c r="E123" s="161"/>
      <c r="F123" s="162"/>
      <c r="G123" s="162"/>
      <c r="H123" s="162"/>
      <c r="I123" s="162"/>
    </row>
    <row r="124" spans="1:9" x14ac:dyDescent="0.25">
      <c r="A124" s="141"/>
      <c r="B124" s="158"/>
      <c r="C124" s="159"/>
      <c r="D124" s="160"/>
      <c r="E124" s="161"/>
      <c r="F124" s="162"/>
      <c r="G124" s="162"/>
      <c r="H124" s="162"/>
      <c r="I124" s="162"/>
    </row>
    <row r="125" spans="1:9" x14ac:dyDescent="0.25">
      <c r="A125" s="141"/>
      <c r="B125" s="158"/>
      <c r="C125" s="159"/>
      <c r="D125" s="160"/>
      <c r="E125" s="161"/>
      <c r="F125" s="162"/>
      <c r="G125" s="162"/>
      <c r="H125" s="162"/>
      <c r="I125" s="162"/>
    </row>
    <row r="126" spans="1:9" x14ac:dyDescent="0.25">
      <c r="A126" s="141"/>
      <c r="B126" s="158"/>
      <c r="C126" s="159"/>
      <c r="D126" s="160"/>
      <c r="E126" s="161"/>
      <c r="F126" s="162"/>
      <c r="G126" s="162"/>
      <c r="H126" s="162"/>
      <c r="I126" s="162"/>
    </row>
    <row r="127" spans="1:9" x14ac:dyDescent="0.25">
      <c r="A127" s="141"/>
      <c r="B127" s="158"/>
      <c r="C127" s="159"/>
      <c r="D127" s="160"/>
      <c r="E127" s="161"/>
      <c r="F127" s="162"/>
      <c r="G127" s="162"/>
      <c r="H127" s="162"/>
      <c r="I127" s="162"/>
    </row>
    <row r="128" spans="1:9" x14ac:dyDescent="0.25">
      <c r="A128" s="141"/>
      <c r="B128" s="158"/>
      <c r="C128" s="159"/>
      <c r="D128" s="160"/>
      <c r="E128" s="161"/>
      <c r="F128" s="162"/>
      <c r="G128" s="162"/>
      <c r="H128" s="162"/>
      <c r="I128" s="162"/>
    </row>
    <row r="129" spans="1:9" x14ac:dyDescent="0.25">
      <c r="A129" s="141"/>
      <c r="B129" s="158"/>
      <c r="C129" s="159"/>
      <c r="D129" s="160"/>
      <c r="E129" s="161"/>
      <c r="F129" s="162"/>
      <c r="G129" s="162"/>
      <c r="H129" s="162"/>
      <c r="I129" s="162"/>
    </row>
    <row r="130" spans="1:9" x14ac:dyDescent="0.25">
      <c r="A130" s="141"/>
      <c r="B130" s="158"/>
      <c r="C130" s="159"/>
      <c r="D130" s="160"/>
      <c r="E130" s="161"/>
      <c r="F130" s="162"/>
      <c r="G130" s="162"/>
      <c r="H130" s="162"/>
      <c r="I130" s="162"/>
    </row>
    <row r="131" spans="1:9" x14ac:dyDescent="0.25">
      <c r="A131" s="141"/>
      <c r="B131" s="158"/>
      <c r="C131" s="159"/>
      <c r="D131" s="160"/>
      <c r="E131" s="161"/>
      <c r="F131" s="162"/>
      <c r="G131" s="162"/>
      <c r="H131" s="162"/>
      <c r="I131" s="162"/>
    </row>
    <row r="132" spans="1:9" x14ac:dyDescent="0.25">
      <c r="A132" s="141"/>
      <c r="B132" s="158"/>
      <c r="C132" s="159"/>
      <c r="D132" s="160"/>
      <c r="E132" s="161"/>
      <c r="F132" s="162"/>
      <c r="G132" s="162"/>
      <c r="H132" s="162"/>
      <c r="I132" s="162"/>
    </row>
    <row r="133" spans="1:9" x14ac:dyDescent="0.25">
      <c r="A133" s="141"/>
      <c r="B133" s="158"/>
      <c r="C133" s="159"/>
      <c r="D133" s="160"/>
      <c r="E133" s="161"/>
      <c r="F133" s="162"/>
      <c r="G133" s="162"/>
      <c r="H133" s="162"/>
      <c r="I133" s="162"/>
    </row>
    <row r="134" spans="1:9" x14ac:dyDescent="0.25">
      <c r="A134" s="141"/>
      <c r="B134" s="158"/>
      <c r="C134" s="159"/>
      <c r="D134" s="160"/>
      <c r="E134" s="161"/>
      <c r="F134" s="162"/>
      <c r="G134" s="162"/>
      <c r="H134" s="162"/>
      <c r="I134" s="162"/>
    </row>
    <row r="135" spans="1:9" x14ac:dyDescent="0.25">
      <c r="A135" s="141"/>
      <c r="B135" s="158"/>
      <c r="C135" s="159"/>
      <c r="D135" s="160"/>
      <c r="E135" s="161"/>
      <c r="F135" s="162"/>
      <c r="G135" s="162"/>
      <c r="H135" s="162"/>
      <c r="I135" s="162"/>
    </row>
    <row r="136" spans="1:9" x14ac:dyDescent="0.25">
      <c r="A136" s="141"/>
      <c r="B136" s="158"/>
      <c r="C136" s="159"/>
      <c r="D136" s="167"/>
      <c r="E136" s="168"/>
      <c r="F136" s="169"/>
      <c r="G136" s="170"/>
      <c r="H136" s="162"/>
      <c r="I136" s="162"/>
    </row>
    <row r="137" spans="1:9" ht="12.75" customHeight="1" x14ac:dyDescent="0.25">
      <c r="A137" s="141"/>
      <c r="B137" s="171"/>
      <c r="C137" s="171"/>
      <c r="D137" s="172"/>
      <c r="E137" s="168"/>
      <c r="F137" s="173"/>
      <c r="G137" s="174"/>
      <c r="H137" s="175"/>
      <c r="I137" s="175"/>
    </row>
    <row r="138" spans="1:9" x14ac:dyDescent="0.25">
      <c r="A138" s="141"/>
      <c r="B138" s="171"/>
      <c r="C138" s="171"/>
      <c r="D138" s="172"/>
      <c r="E138" s="168"/>
      <c r="F138" s="173"/>
      <c r="G138" s="174"/>
      <c r="H138" s="175"/>
      <c r="I138" s="175"/>
    </row>
    <row r="139" spans="1:9" x14ac:dyDescent="0.25">
      <c r="A139" s="141"/>
      <c r="B139" s="171"/>
      <c r="C139" s="171"/>
      <c r="D139" s="172"/>
      <c r="E139" s="168"/>
      <c r="F139" s="173"/>
      <c r="G139" s="174"/>
      <c r="H139" s="175"/>
      <c r="I139" s="175"/>
    </row>
    <row r="140" spans="1:9" x14ac:dyDescent="0.25">
      <c r="A140" s="141"/>
      <c r="B140" s="171"/>
      <c r="C140" s="171"/>
      <c r="D140" s="172"/>
      <c r="E140" s="168"/>
      <c r="F140" s="173"/>
      <c r="G140" s="174"/>
      <c r="H140" s="175"/>
      <c r="I140" s="175"/>
    </row>
    <row r="141" spans="1:9" x14ac:dyDescent="0.25">
      <c r="A141" s="141"/>
      <c r="B141" s="171"/>
      <c r="C141" s="171"/>
      <c r="D141" s="172"/>
      <c r="E141" s="168"/>
      <c r="F141" s="173"/>
      <c r="G141" s="174"/>
      <c r="H141" s="175"/>
      <c r="I141" s="175"/>
    </row>
    <row r="142" spans="1:9" x14ac:dyDescent="0.25">
      <c r="A142" s="141"/>
      <c r="B142" s="171"/>
      <c r="C142" s="171"/>
      <c r="D142" s="172"/>
      <c r="E142" s="168"/>
      <c r="F142" s="173"/>
      <c r="G142" s="174"/>
      <c r="H142" s="175"/>
      <c r="I142" s="175"/>
    </row>
    <row r="143" spans="1:9" x14ac:dyDescent="0.25">
      <c r="A143" s="141"/>
      <c r="B143" s="171"/>
      <c r="C143" s="171"/>
      <c r="D143" s="172"/>
      <c r="E143" s="168"/>
      <c r="F143" s="173"/>
      <c r="G143" s="174"/>
      <c r="H143" s="175"/>
      <c r="I143" s="175"/>
    </row>
    <row r="144" spans="1:9" x14ac:dyDescent="0.25">
      <c r="A144" s="141"/>
      <c r="B144" s="171"/>
      <c r="C144" s="171"/>
      <c r="D144" s="172"/>
      <c r="E144" s="168"/>
      <c r="F144" s="173"/>
      <c r="G144" s="174"/>
      <c r="H144" s="175"/>
      <c r="I144" s="175"/>
    </row>
    <row r="145" spans="1:9" x14ac:dyDescent="0.25">
      <c r="A145" s="141"/>
      <c r="B145" s="171"/>
      <c r="C145" s="171"/>
      <c r="D145" s="172"/>
      <c r="E145" s="168"/>
      <c r="F145" s="173"/>
      <c r="G145" s="174"/>
      <c r="H145" s="175"/>
      <c r="I145" s="175"/>
    </row>
    <row r="146" spans="1:9" x14ac:dyDescent="0.25">
      <c r="A146" s="141"/>
      <c r="B146" s="171"/>
      <c r="C146" s="171"/>
      <c r="D146" s="172"/>
      <c r="E146" s="168"/>
      <c r="F146" s="173"/>
      <c r="G146" s="174"/>
      <c r="H146" s="175"/>
      <c r="I146" s="175"/>
    </row>
    <row r="147" spans="1:9" x14ac:dyDescent="0.25">
      <c r="A147" s="141"/>
      <c r="B147" s="171"/>
      <c r="C147" s="171"/>
      <c r="D147" s="172"/>
      <c r="E147" s="168"/>
      <c r="F147" s="173"/>
      <c r="G147" s="174"/>
      <c r="H147" s="175"/>
      <c r="I147" s="175"/>
    </row>
    <row r="148" spans="1:9" x14ac:dyDescent="0.25">
      <c r="A148" s="141"/>
      <c r="B148" s="171"/>
      <c r="C148" s="171"/>
      <c r="D148" s="172"/>
      <c r="E148" s="168"/>
      <c r="F148" s="173"/>
      <c r="G148" s="174"/>
      <c r="H148" s="175"/>
      <c r="I148" s="175"/>
    </row>
    <row r="149" spans="1:9" x14ac:dyDescent="0.25">
      <c r="A149" s="141"/>
      <c r="B149" s="171"/>
      <c r="C149" s="171"/>
      <c r="D149" s="172"/>
      <c r="E149" s="168"/>
      <c r="F149" s="173"/>
      <c r="G149" s="174"/>
      <c r="H149" s="175"/>
      <c r="I149" s="175"/>
    </row>
    <row r="150" spans="1:9" x14ac:dyDescent="0.25">
      <c r="A150" s="141"/>
      <c r="B150" s="171"/>
      <c r="C150" s="171"/>
      <c r="D150" s="172"/>
      <c r="E150" s="168"/>
      <c r="F150" s="173"/>
      <c r="G150" s="174"/>
      <c r="H150" s="175"/>
      <c r="I150" s="175"/>
    </row>
    <row r="151" spans="1:9" x14ac:dyDescent="0.25">
      <c r="A151" s="141"/>
      <c r="B151" s="171"/>
      <c r="C151" s="171"/>
      <c r="D151" s="172"/>
      <c r="E151" s="168"/>
      <c r="F151" s="173"/>
      <c r="G151" s="174"/>
      <c r="H151" s="175"/>
      <c r="I151" s="175"/>
    </row>
    <row r="152" spans="1:9" x14ac:dyDescent="0.25">
      <c r="A152" s="141"/>
      <c r="B152" s="171"/>
      <c r="C152" s="171"/>
      <c r="D152" s="172"/>
      <c r="E152" s="168"/>
      <c r="F152" s="173"/>
      <c r="G152" s="174"/>
      <c r="H152" s="175"/>
      <c r="I152" s="175"/>
    </row>
    <row r="153" spans="1:9" x14ac:dyDescent="0.25">
      <c r="A153" s="141"/>
      <c r="B153" s="171"/>
      <c r="C153" s="171"/>
      <c r="D153" s="172"/>
      <c r="E153" s="168"/>
      <c r="F153" s="173"/>
      <c r="G153" s="174"/>
      <c r="H153" s="175"/>
      <c r="I153" s="175"/>
    </row>
    <row r="154" spans="1:9" x14ac:dyDescent="0.25">
      <c r="A154" s="141"/>
      <c r="B154" s="171"/>
      <c r="C154" s="171"/>
      <c r="D154" s="172"/>
      <c r="E154" s="168"/>
      <c r="F154" s="173"/>
      <c r="G154" s="174"/>
      <c r="H154" s="175"/>
      <c r="I154" s="175"/>
    </row>
    <row r="155" spans="1:9" x14ac:dyDescent="0.25">
      <c r="A155" s="141"/>
      <c r="B155" s="171"/>
      <c r="C155" s="171"/>
      <c r="D155" s="172"/>
      <c r="E155" s="168"/>
      <c r="F155" s="173"/>
      <c r="G155" s="174"/>
      <c r="H155" s="175"/>
      <c r="I155" s="175"/>
    </row>
    <row r="156" spans="1:9" x14ac:dyDescent="0.25">
      <c r="A156" s="141"/>
      <c r="B156" s="171"/>
      <c r="C156" s="171"/>
      <c r="D156" s="172"/>
      <c r="E156" s="168"/>
      <c r="F156" s="173"/>
      <c r="G156" s="174"/>
      <c r="H156" s="175"/>
      <c r="I156" s="175"/>
    </row>
    <row r="157" spans="1:9" x14ac:dyDescent="0.25">
      <c r="A157" s="141"/>
      <c r="B157" s="171"/>
      <c r="C157" s="171"/>
      <c r="D157" s="172"/>
      <c r="E157" s="168"/>
      <c r="F157" s="173"/>
      <c r="G157" s="174"/>
      <c r="H157" s="175"/>
      <c r="I157" s="175"/>
    </row>
    <row r="158" spans="1:9" x14ac:dyDescent="0.25">
      <c r="A158" s="141"/>
      <c r="B158" s="171"/>
      <c r="C158" s="171"/>
      <c r="D158" s="172"/>
      <c r="E158" s="168"/>
      <c r="F158" s="173"/>
      <c r="G158" s="174"/>
      <c r="H158" s="175"/>
      <c r="I158" s="175"/>
    </row>
    <row r="159" spans="1:9" x14ac:dyDescent="0.25">
      <c r="A159" s="141"/>
      <c r="B159" s="171"/>
      <c r="C159" s="171"/>
      <c r="D159" s="172"/>
      <c r="E159" s="172"/>
      <c r="F159" s="173"/>
      <c r="G159" s="174"/>
      <c r="H159" s="175"/>
      <c r="I159" s="175"/>
    </row>
    <row r="160" spans="1:9" x14ac:dyDescent="0.25">
      <c r="A160" s="141"/>
      <c r="B160" s="171"/>
      <c r="C160" s="171"/>
      <c r="D160" s="172"/>
      <c r="E160" s="172"/>
      <c r="F160" s="173"/>
      <c r="G160" s="174"/>
      <c r="H160" s="175"/>
      <c r="I160" s="175"/>
    </row>
    <row r="161" spans="1:9" x14ac:dyDescent="0.25">
      <c r="A161" s="141"/>
      <c r="B161" s="171"/>
      <c r="C161" s="171"/>
      <c r="D161" s="172"/>
      <c r="E161" s="172"/>
      <c r="F161" s="173"/>
      <c r="G161" s="174"/>
      <c r="H161" s="175"/>
      <c r="I161" s="175"/>
    </row>
    <row r="162" spans="1:9" x14ac:dyDescent="0.25">
      <c r="A162" s="141"/>
      <c r="B162" s="171"/>
      <c r="C162" s="171"/>
      <c r="D162" s="172"/>
      <c r="E162" s="172"/>
      <c r="F162" s="173"/>
      <c r="G162" s="174"/>
      <c r="H162" s="175"/>
      <c r="I162" s="175"/>
    </row>
    <row r="163" spans="1:9" x14ac:dyDescent="0.25">
      <c r="A163" s="141"/>
      <c r="B163" s="171"/>
      <c r="C163" s="171"/>
      <c r="D163" s="172"/>
      <c r="E163" s="172"/>
      <c r="F163" s="173"/>
      <c r="G163" s="174"/>
      <c r="H163" s="175"/>
      <c r="I163" s="175"/>
    </row>
    <row r="164" spans="1:9" x14ac:dyDescent="0.25">
      <c r="A164" s="141"/>
      <c r="B164" s="171"/>
      <c r="C164" s="171"/>
      <c r="D164" s="172"/>
      <c r="E164" s="172"/>
      <c r="F164" s="173"/>
      <c r="G164" s="174"/>
      <c r="H164" s="175"/>
      <c r="I164" s="175"/>
    </row>
    <row r="165" spans="1:9" x14ac:dyDescent="0.25">
      <c r="A165" s="141"/>
      <c r="B165" s="171"/>
      <c r="C165" s="171"/>
      <c r="D165" s="172"/>
      <c r="E165" s="172"/>
      <c r="F165" s="173"/>
      <c r="G165" s="174"/>
      <c r="H165" s="175"/>
      <c r="I165" s="175"/>
    </row>
    <row r="166" spans="1:9" x14ac:dyDescent="0.25">
      <c r="A166" s="141"/>
      <c r="B166" s="171"/>
      <c r="C166" s="171"/>
      <c r="D166" s="172"/>
      <c r="E166" s="172"/>
      <c r="F166" s="173"/>
      <c r="G166" s="174"/>
      <c r="H166" s="175"/>
      <c r="I166" s="175"/>
    </row>
    <row r="167" spans="1:9" x14ac:dyDescent="0.25">
      <c r="A167" s="141"/>
      <c r="B167" s="171"/>
      <c r="C167" s="171"/>
      <c r="D167" s="172"/>
      <c r="E167" s="172"/>
      <c r="F167" s="173"/>
      <c r="G167" s="174"/>
      <c r="H167" s="175"/>
      <c r="I167" s="175"/>
    </row>
    <row r="168" spans="1:9" x14ac:dyDescent="0.25">
      <c r="A168" s="141"/>
      <c r="B168" s="171"/>
      <c r="C168" s="171"/>
      <c r="D168" s="172"/>
      <c r="E168" s="172"/>
      <c r="F168" s="173"/>
      <c r="G168" s="174"/>
      <c r="H168" s="175"/>
      <c r="I168" s="175"/>
    </row>
    <row r="169" spans="1:9" x14ac:dyDescent="0.25">
      <c r="A169" s="141"/>
      <c r="B169" s="171"/>
      <c r="C169" s="171"/>
      <c r="D169" s="172"/>
      <c r="E169" s="172"/>
      <c r="F169" s="173"/>
      <c r="G169" s="174"/>
      <c r="H169" s="175"/>
      <c r="I169" s="175"/>
    </row>
    <row r="170" spans="1:9" x14ac:dyDescent="0.25">
      <c r="A170" s="141"/>
      <c r="B170" s="171"/>
      <c r="C170" s="171"/>
      <c r="D170" s="172"/>
      <c r="E170" s="172"/>
      <c r="F170" s="173"/>
      <c r="G170" s="174"/>
      <c r="H170" s="175"/>
      <c r="I170" s="175"/>
    </row>
    <row r="171" spans="1:9" x14ac:dyDescent="0.25">
      <c r="A171" s="141"/>
      <c r="B171" s="171"/>
      <c r="C171" s="171"/>
      <c r="D171" s="172"/>
      <c r="E171" s="172"/>
      <c r="F171" s="173"/>
      <c r="G171" s="174"/>
      <c r="H171" s="175"/>
      <c r="I171" s="175"/>
    </row>
    <row r="172" spans="1:9" x14ac:dyDescent="0.25">
      <c r="A172" s="141"/>
      <c r="B172" s="171"/>
      <c r="C172" s="171"/>
      <c r="D172" s="172"/>
      <c r="E172" s="172"/>
      <c r="F172" s="173"/>
      <c r="G172" s="174"/>
      <c r="H172" s="175"/>
      <c r="I172" s="175"/>
    </row>
    <row r="173" spans="1:9" x14ac:dyDescent="0.25">
      <c r="A173" s="141"/>
      <c r="B173" s="171"/>
      <c r="C173" s="171"/>
      <c r="D173" s="172"/>
      <c r="E173" s="172"/>
      <c r="F173" s="173"/>
      <c r="G173" s="174"/>
      <c r="H173" s="175"/>
      <c r="I173" s="175"/>
    </row>
    <row r="174" spans="1:9" x14ac:dyDescent="0.25">
      <c r="A174" s="141"/>
      <c r="B174" s="171"/>
      <c r="C174" s="171"/>
      <c r="D174" s="172"/>
      <c r="E174" s="172"/>
      <c r="F174" s="173"/>
      <c r="G174" s="174"/>
      <c r="H174" s="175"/>
      <c r="I174" s="175"/>
    </row>
    <row r="175" spans="1:9" x14ac:dyDescent="0.25">
      <c r="A175" s="141"/>
      <c r="B175" s="171"/>
      <c r="C175" s="171"/>
      <c r="D175" s="172"/>
      <c r="E175" s="172"/>
      <c r="F175" s="173"/>
      <c r="G175" s="174"/>
      <c r="H175" s="175"/>
      <c r="I175" s="175"/>
    </row>
    <row r="176" spans="1:9" x14ac:dyDescent="0.25">
      <c r="A176" s="141"/>
      <c r="B176" s="171"/>
      <c r="C176" s="171"/>
      <c r="D176" s="172"/>
      <c r="E176" s="172"/>
      <c r="F176" s="173"/>
      <c r="G176" s="174"/>
      <c r="H176" s="175"/>
      <c r="I176" s="175"/>
    </row>
    <row r="177" spans="1:9" x14ac:dyDescent="0.25">
      <c r="A177" s="141"/>
      <c r="B177" s="171"/>
      <c r="C177" s="171"/>
      <c r="D177" s="172"/>
      <c r="E177" s="172"/>
      <c r="F177" s="173"/>
      <c r="G177" s="174"/>
      <c r="H177" s="175"/>
      <c r="I177" s="175"/>
    </row>
    <row r="178" spans="1:9" x14ac:dyDescent="0.25">
      <c r="A178" s="141"/>
      <c r="B178" s="171"/>
      <c r="C178" s="171"/>
      <c r="D178" s="172"/>
      <c r="E178" s="172"/>
      <c r="F178" s="173"/>
      <c r="G178" s="174"/>
      <c r="H178" s="175"/>
      <c r="I178" s="175"/>
    </row>
    <row r="179" spans="1:9" x14ac:dyDescent="0.25">
      <c r="A179" s="141"/>
      <c r="B179" s="171"/>
      <c r="C179" s="171"/>
      <c r="D179" s="172"/>
      <c r="E179" s="172"/>
      <c r="F179" s="173"/>
      <c r="G179" s="174"/>
      <c r="H179" s="175"/>
      <c r="I179" s="175"/>
    </row>
    <row r="180" spans="1:9" x14ac:dyDescent="0.25">
      <c r="A180" s="141"/>
      <c r="B180" s="171"/>
      <c r="C180" s="171"/>
      <c r="D180" s="172"/>
      <c r="E180" s="172"/>
      <c r="F180" s="173"/>
      <c r="G180" s="174"/>
      <c r="H180" s="175"/>
      <c r="I180" s="175"/>
    </row>
    <row r="181" spans="1:9" x14ac:dyDescent="0.25">
      <c r="A181" s="141"/>
      <c r="B181" s="171"/>
      <c r="C181" s="171"/>
      <c r="D181" s="172"/>
      <c r="E181" s="172"/>
      <c r="F181" s="173"/>
      <c r="G181" s="174"/>
      <c r="H181" s="175"/>
      <c r="I181" s="175"/>
    </row>
    <row r="182" spans="1:9" x14ac:dyDescent="0.25">
      <c r="A182" s="141"/>
      <c r="B182" s="171"/>
      <c r="C182" s="171"/>
      <c r="D182" s="172"/>
      <c r="E182" s="172"/>
      <c r="F182" s="173"/>
      <c r="G182" s="174"/>
      <c r="H182" s="175"/>
      <c r="I182" s="175"/>
    </row>
    <row r="183" spans="1:9" x14ac:dyDescent="0.25">
      <c r="A183" s="141"/>
      <c r="B183" s="171"/>
      <c r="C183" s="171"/>
      <c r="D183" s="172"/>
      <c r="E183" s="172"/>
      <c r="F183" s="173"/>
      <c r="G183" s="174"/>
      <c r="H183" s="175"/>
      <c r="I183" s="175"/>
    </row>
  </sheetData>
  <mergeCells count="2">
    <mergeCell ref="B9:C9"/>
    <mergeCell ref="B15:C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54" customWidth="1"/>
    <col min="2" max="2" width="15.5703125" style="54" bestFit="1" customWidth="1"/>
    <col min="3" max="3" width="5.7109375" style="54" customWidth="1"/>
    <col min="4" max="4" width="5.42578125" style="54" customWidth="1"/>
    <col min="5" max="5" width="6.28515625" style="59" customWidth="1"/>
    <col min="6" max="6" width="10.7109375" style="60" customWidth="1"/>
    <col min="7" max="7" width="19.140625" style="54" customWidth="1"/>
    <col min="8" max="8" width="13.7109375" style="62" customWidth="1"/>
    <col min="9" max="9" width="12.42578125" style="62" customWidth="1"/>
    <col min="10" max="10" width="13.7109375" style="62" customWidth="1"/>
    <col min="11" max="11" width="15.85546875" style="54" customWidth="1"/>
    <col min="12" max="12" width="15.5703125" style="54" customWidth="1"/>
    <col min="13" max="13" width="14.28515625" style="54" bestFit="1" customWidth="1"/>
    <col min="14" max="14" width="9.140625" style="54"/>
    <col min="15" max="15" width="19.5703125" style="54" bestFit="1" customWidth="1"/>
    <col min="16" max="16" width="15" style="54" customWidth="1"/>
    <col min="17" max="16384" width="9.140625" style="54"/>
  </cols>
  <sheetData>
    <row r="2" spans="1:16" ht="30" x14ac:dyDescent="0.25">
      <c r="E2" s="55"/>
      <c r="F2" s="56" t="s">
        <v>289</v>
      </c>
      <c r="G2" s="55" t="s">
        <v>186</v>
      </c>
      <c r="H2" s="57" t="s">
        <v>290</v>
      </c>
      <c r="I2" s="57" t="s">
        <v>291</v>
      </c>
      <c r="J2" s="57" t="s">
        <v>292</v>
      </c>
      <c r="K2" s="55" t="s">
        <v>293</v>
      </c>
      <c r="L2" s="55" t="s">
        <v>294</v>
      </c>
      <c r="M2" s="55" t="s">
        <v>185</v>
      </c>
    </row>
    <row r="3" spans="1:16" x14ac:dyDescent="0.25">
      <c r="A3" s="54" t="s">
        <v>295</v>
      </c>
      <c r="B3" s="58">
        <v>1.49E-2</v>
      </c>
      <c r="E3" s="59">
        <v>1</v>
      </c>
      <c r="F3" s="60">
        <v>42470</v>
      </c>
      <c r="G3" s="61">
        <f>$B$14</f>
        <v>4000000</v>
      </c>
      <c r="H3" s="62">
        <f t="shared" ref="H3:H57" si="0">$B$17</f>
        <v>19096.61</v>
      </c>
      <c r="I3" s="62">
        <f>$H3-$J3</f>
        <v>5763.2800000000007</v>
      </c>
      <c r="J3" s="62">
        <f t="shared" ref="J3:J57" si="1">ROUND($G3*($B$15/12), 2)</f>
        <v>13333.33</v>
      </c>
      <c r="K3" s="62">
        <f>I3</f>
        <v>5763.2800000000007</v>
      </c>
      <c r="L3" s="62">
        <f>J3</f>
        <v>13333.33</v>
      </c>
      <c r="M3" s="61">
        <f>$G3-$I3</f>
        <v>3994236.72</v>
      </c>
    </row>
    <row r="4" spans="1:16" x14ac:dyDescent="0.25">
      <c r="A4" s="54" t="s">
        <v>296</v>
      </c>
      <c r="B4" s="58">
        <v>0.03</v>
      </c>
      <c r="E4" s="59">
        <v>2</v>
      </c>
      <c r="F4" s="60">
        <v>42500</v>
      </c>
      <c r="G4" s="61">
        <f>$M3</f>
        <v>3994236.72</v>
      </c>
      <c r="H4" s="62">
        <f t="shared" si="0"/>
        <v>19096.61</v>
      </c>
      <c r="I4" s="62">
        <f t="shared" ref="I4:I57" si="2">$H4-$J4</f>
        <v>5782.49</v>
      </c>
      <c r="J4" s="62">
        <f t="shared" si="1"/>
        <v>13314.12</v>
      </c>
      <c r="K4" s="61">
        <f>$I4+$K3</f>
        <v>11545.77</v>
      </c>
      <c r="L4" s="61">
        <f>$J4+$L3</f>
        <v>26647.45</v>
      </c>
      <c r="M4" s="61">
        <f t="shared" ref="M4:M57" si="3">$G4-$I4</f>
        <v>3988454.23</v>
      </c>
    </row>
    <row r="5" spans="1:16" x14ac:dyDescent="0.25">
      <c r="A5" s="54" t="s">
        <v>280</v>
      </c>
      <c r="B5" s="63">
        <v>0</v>
      </c>
      <c r="E5" s="59">
        <v>3</v>
      </c>
      <c r="F5" s="60">
        <v>42531</v>
      </c>
      <c r="G5" s="61">
        <f t="shared" ref="G5:G57" si="4">$M4</f>
        <v>3988454.23</v>
      </c>
      <c r="H5" s="62">
        <f t="shared" si="0"/>
        <v>19096.61</v>
      </c>
      <c r="I5" s="62">
        <f t="shared" si="2"/>
        <v>5801.76</v>
      </c>
      <c r="J5" s="62">
        <f t="shared" si="1"/>
        <v>13294.85</v>
      </c>
      <c r="K5" s="61">
        <f t="shared" ref="K5:K57" si="5">$I5+$K4</f>
        <v>17347.53</v>
      </c>
      <c r="L5" s="61">
        <f t="shared" ref="L5:L57" si="6">$J5+$L4</f>
        <v>39942.300000000003</v>
      </c>
      <c r="M5" s="61">
        <f t="shared" si="3"/>
        <v>3982652.47</v>
      </c>
      <c r="O5" s="64" t="s">
        <v>297</v>
      </c>
      <c r="P5" s="65"/>
    </row>
    <row r="6" spans="1:16" x14ac:dyDescent="0.25">
      <c r="E6" s="59">
        <v>4</v>
      </c>
      <c r="F6" s="60">
        <v>42561</v>
      </c>
      <c r="G6" s="61">
        <f t="shared" si="4"/>
        <v>3982652.47</v>
      </c>
      <c r="H6" s="62">
        <f t="shared" si="0"/>
        <v>19096.61</v>
      </c>
      <c r="I6" s="62">
        <f t="shared" si="2"/>
        <v>5821.1</v>
      </c>
      <c r="J6" s="62">
        <f t="shared" si="1"/>
        <v>13275.51</v>
      </c>
      <c r="K6" s="61">
        <f t="shared" si="5"/>
        <v>23168.629999999997</v>
      </c>
      <c r="L6" s="61">
        <f t="shared" si="6"/>
        <v>53217.810000000005</v>
      </c>
      <c r="M6" s="61">
        <f t="shared" si="3"/>
        <v>3976831.37</v>
      </c>
      <c r="O6" s="66" t="s">
        <v>298</v>
      </c>
      <c r="P6" s="67">
        <v>1320</v>
      </c>
    </row>
    <row r="7" spans="1:16" x14ac:dyDescent="0.25">
      <c r="E7" s="59">
        <v>5</v>
      </c>
      <c r="F7" s="60">
        <v>42592</v>
      </c>
      <c r="G7" s="61">
        <f t="shared" si="4"/>
        <v>3976831.37</v>
      </c>
      <c r="H7" s="62">
        <f t="shared" si="0"/>
        <v>19096.61</v>
      </c>
      <c r="I7" s="62">
        <f t="shared" si="2"/>
        <v>5840.51</v>
      </c>
      <c r="J7" s="62">
        <f t="shared" si="1"/>
        <v>13256.1</v>
      </c>
      <c r="K7" s="61">
        <f t="shared" si="5"/>
        <v>29009.14</v>
      </c>
      <c r="L7" s="61">
        <f t="shared" si="6"/>
        <v>66473.91</v>
      </c>
      <c r="M7" s="61">
        <f t="shared" si="3"/>
        <v>3970990.8600000003</v>
      </c>
      <c r="O7" s="66" t="s">
        <v>299</v>
      </c>
      <c r="P7" s="68" t="s">
        <v>300</v>
      </c>
    </row>
    <row r="8" spans="1:16" x14ac:dyDescent="0.25">
      <c r="A8" s="69" t="s">
        <v>301</v>
      </c>
      <c r="B8" s="70">
        <v>4000000</v>
      </c>
      <c r="E8" s="59">
        <v>6</v>
      </c>
      <c r="F8" s="60">
        <v>42623</v>
      </c>
      <c r="G8" s="61">
        <f t="shared" si="4"/>
        <v>3970990.8600000003</v>
      </c>
      <c r="H8" s="62">
        <f t="shared" si="0"/>
        <v>19096.61</v>
      </c>
      <c r="I8" s="62">
        <f t="shared" si="2"/>
        <v>5859.9700000000012</v>
      </c>
      <c r="J8" s="62">
        <f t="shared" si="1"/>
        <v>13236.64</v>
      </c>
      <c r="K8" s="61">
        <f t="shared" si="5"/>
        <v>34869.11</v>
      </c>
      <c r="L8" s="61">
        <f t="shared" si="6"/>
        <v>79710.55</v>
      </c>
      <c r="M8" s="61">
        <f t="shared" si="3"/>
        <v>3965130.89</v>
      </c>
      <c r="O8" s="66"/>
      <c r="P8" s="68"/>
    </row>
    <row r="9" spans="1:16" x14ac:dyDescent="0.25">
      <c r="A9" s="69" t="s">
        <v>302</v>
      </c>
      <c r="B9" s="71">
        <v>0.04</v>
      </c>
      <c r="E9" s="59">
        <v>7</v>
      </c>
      <c r="F9" s="60">
        <v>42653</v>
      </c>
      <c r="G9" s="61">
        <f t="shared" si="4"/>
        <v>3965130.89</v>
      </c>
      <c r="H9" s="62">
        <f t="shared" si="0"/>
        <v>19096.61</v>
      </c>
      <c r="I9" s="62">
        <f t="shared" si="2"/>
        <v>5879.51</v>
      </c>
      <c r="J9" s="62">
        <f t="shared" si="1"/>
        <v>13217.1</v>
      </c>
      <c r="K9" s="61">
        <f t="shared" si="5"/>
        <v>40748.620000000003</v>
      </c>
      <c r="L9" s="61">
        <f t="shared" si="6"/>
        <v>92927.650000000009</v>
      </c>
      <c r="M9" s="61">
        <f t="shared" si="3"/>
        <v>3959251.3800000004</v>
      </c>
      <c r="O9" s="66" t="s">
        <v>303</v>
      </c>
      <c r="P9" s="72">
        <f>SUM(P6:P8)</f>
        <v>1320</v>
      </c>
    </row>
    <row r="10" spans="1:16" x14ac:dyDescent="0.25">
      <c r="A10" s="69" t="s">
        <v>304</v>
      </c>
      <c r="B10" s="69">
        <v>12</v>
      </c>
      <c r="E10" s="59">
        <v>8</v>
      </c>
      <c r="F10" s="60">
        <v>42684</v>
      </c>
      <c r="G10" s="61">
        <f t="shared" si="4"/>
        <v>3959251.3800000004</v>
      </c>
      <c r="H10" s="62">
        <f t="shared" si="0"/>
        <v>19096.61</v>
      </c>
      <c r="I10" s="62">
        <f t="shared" si="2"/>
        <v>5899.1100000000006</v>
      </c>
      <c r="J10" s="62">
        <f t="shared" si="1"/>
        <v>13197.5</v>
      </c>
      <c r="K10" s="61">
        <f t="shared" si="5"/>
        <v>46647.73</v>
      </c>
      <c r="L10" s="61">
        <f t="shared" si="6"/>
        <v>106125.15000000001</v>
      </c>
      <c r="M10" s="61">
        <f t="shared" si="3"/>
        <v>3953352.2700000005</v>
      </c>
      <c r="O10" s="66"/>
      <c r="P10" s="68"/>
    </row>
    <row r="11" spans="1:16" x14ac:dyDescent="0.25">
      <c r="A11" s="69" t="s">
        <v>305</v>
      </c>
      <c r="B11" s="70">
        <f>((B9/B10)*B8)</f>
        <v>13333.333333333334</v>
      </c>
      <c r="E11" s="59">
        <v>9</v>
      </c>
      <c r="F11" s="60">
        <v>42714</v>
      </c>
      <c r="G11" s="61">
        <f t="shared" si="4"/>
        <v>3953352.2700000005</v>
      </c>
      <c r="H11" s="62">
        <f t="shared" si="0"/>
        <v>19096.61</v>
      </c>
      <c r="I11" s="62">
        <f t="shared" si="2"/>
        <v>5918.77</v>
      </c>
      <c r="J11" s="62">
        <f t="shared" si="1"/>
        <v>13177.84</v>
      </c>
      <c r="K11" s="61">
        <f t="shared" si="5"/>
        <v>52566.5</v>
      </c>
      <c r="L11" s="61">
        <f t="shared" si="6"/>
        <v>119302.99</v>
      </c>
      <c r="M11" s="61">
        <f t="shared" si="3"/>
        <v>3947433.5000000005</v>
      </c>
      <c r="O11" s="66" t="s">
        <v>306</v>
      </c>
      <c r="P11" s="72">
        <v>13855</v>
      </c>
    </row>
    <row r="12" spans="1:16" x14ac:dyDescent="0.25">
      <c r="E12" s="59">
        <v>10</v>
      </c>
      <c r="F12" s="60">
        <v>42745</v>
      </c>
      <c r="G12" s="61">
        <f t="shared" si="4"/>
        <v>3947433.5000000005</v>
      </c>
      <c r="H12" s="62">
        <f t="shared" si="0"/>
        <v>19096.61</v>
      </c>
      <c r="I12" s="62">
        <f t="shared" si="2"/>
        <v>5938.5</v>
      </c>
      <c r="J12" s="62">
        <f t="shared" si="1"/>
        <v>13158.11</v>
      </c>
      <c r="K12" s="61">
        <f t="shared" si="5"/>
        <v>58505</v>
      </c>
      <c r="L12" s="61">
        <f t="shared" si="6"/>
        <v>132461.1</v>
      </c>
      <c r="M12" s="61">
        <f t="shared" si="3"/>
        <v>3941495.0000000005</v>
      </c>
      <c r="O12" s="73" t="s">
        <v>307</v>
      </c>
      <c r="P12" s="74">
        <v>13855</v>
      </c>
    </row>
    <row r="13" spans="1:16" x14ac:dyDescent="0.25">
      <c r="E13" s="59">
        <v>11</v>
      </c>
      <c r="F13" s="60">
        <v>42776</v>
      </c>
      <c r="G13" s="61">
        <f t="shared" si="4"/>
        <v>3941495.0000000005</v>
      </c>
      <c r="H13" s="62">
        <f t="shared" si="0"/>
        <v>19096.61</v>
      </c>
      <c r="I13" s="62">
        <f t="shared" si="2"/>
        <v>5958.2900000000009</v>
      </c>
      <c r="J13" s="62">
        <f t="shared" si="1"/>
        <v>13138.32</v>
      </c>
      <c r="K13" s="61">
        <f t="shared" si="5"/>
        <v>64463.29</v>
      </c>
      <c r="L13" s="61">
        <f t="shared" si="6"/>
        <v>145599.42000000001</v>
      </c>
      <c r="M13" s="61">
        <f t="shared" si="3"/>
        <v>3935536.7100000004</v>
      </c>
      <c r="P13" s="62"/>
    </row>
    <row r="14" spans="1:16" s="55" customFormat="1" x14ac:dyDescent="0.25">
      <c r="A14" s="60" t="s">
        <v>301</v>
      </c>
      <c r="B14" s="63">
        <v>4000000</v>
      </c>
      <c r="E14" s="59">
        <v>12</v>
      </c>
      <c r="F14" s="60">
        <v>42804</v>
      </c>
      <c r="G14" s="61">
        <f t="shared" si="4"/>
        <v>3935536.7100000004</v>
      </c>
      <c r="H14" s="62">
        <f t="shared" si="0"/>
        <v>19096.61</v>
      </c>
      <c r="I14" s="62">
        <f t="shared" si="2"/>
        <v>5978.1500000000015</v>
      </c>
      <c r="J14" s="62">
        <f t="shared" si="1"/>
        <v>13118.46</v>
      </c>
      <c r="K14" s="61">
        <f t="shared" si="5"/>
        <v>70441.440000000002</v>
      </c>
      <c r="L14" s="61">
        <f t="shared" si="6"/>
        <v>158717.88</v>
      </c>
      <c r="M14" s="61">
        <f t="shared" si="3"/>
        <v>3929558.5600000005</v>
      </c>
      <c r="O14" s="75" t="s">
        <v>308</v>
      </c>
      <c r="P14" s="76"/>
    </row>
    <row r="15" spans="1:16" x14ac:dyDescent="0.25">
      <c r="A15" s="60" t="s">
        <v>302</v>
      </c>
      <c r="B15" s="58">
        <v>0.04</v>
      </c>
      <c r="E15" s="59">
        <v>13</v>
      </c>
      <c r="F15" s="60">
        <v>42835</v>
      </c>
      <c r="G15" s="61">
        <f t="shared" si="4"/>
        <v>3929558.5600000005</v>
      </c>
      <c r="H15" s="62">
        <f t="shared" si="0"/>
        <v>19096.61</v>
      </c>
      <c r="I15" s="62">
        <f t="shared" si="2"/>
        <v>5998.08</v>
      </c>
      <c r="J15" s="62">
        <f t="shared" si="1"/>
        <v>13098.53</v>
      </c>
      <c r="K15" s="61">
        <f t="shared" si="5"/>
        <v>76439.520000000004</v>
      </c>
      <c r="L15" s="61">
        <f t="shared" si="6"/>
        <v>171816.41</v>
      </c>
      <c r="M15" s="61">
        <f t="shared" si="3"/>
        <v>3923560.4800000004</v>
      </c>
      <c r="O15" s="66" t="s">
        <v>298</v>
      </c>
      <c r="P15" s="77">
        <v>1215</v>
      </c>
    </row>
    <row r="16" spans="1:16" x14ac:dyDescent="0.25">
      <c r="A16" s="60" t="s">
        <v>309</v>
      </c>
      <c r="B16" s="78">
        <v>360</v>
      </c>
      <c r="E16" s="59">
        <v>14</v>
      </c>
      <c r="F16" s="60">
        <v>42865</v>
      </c>
      <c r="G16" s="61">
        <f t="shared" si="4"/>
        <v>3923560.4800000004</v>
      </c>
      <c r="H16" s="62">
        <f t="shared" si="0"/>
        <v>19096.61</v>
      </c>
      <c r="I16" s="62">
        <f t="shared" si="2"/>
        <v>6018.08</v>
      </c>
      <c r="J16" s="62">
        <f t="shared" si="1"/>
        <v>13078.53</v>
      </c>
      <c r="K16" s="61">
        <f t="shared" si="5"/>
        <v>82457.600000000006</v>
      </c>
      <c r="L16" s="61">
        <f t="shared" si="6"/>
        <v>184894.94</v>
      </c>
      <c r="M16" s="61">
        <f t="shared" si="3"/>
        <v>3917542.4000000004</v>
      </c>
      <c r="O16" s="66" t="s">
        <v>299</v>
      </c>
      <c r="P16" s="72">
        <v>28986</v>
      </c>
    </row>
    <row r="17" spans="1:16" x14ac:dyDescent="0.25">
      <c r="A17" s="60" t="s">
        <v>305</v>
      </c>
      <c r="B17" s="79">
        <f>ROUND(PMT($B$15/12,$B$16,-$B$14,0), 2)</f>
        <v>19096.61</v>
      </c>
      <c r="E17" s="80">
        <v>15</v>
      </c>
      <c r="F17" s="60">
        <v>42896</v>
      </c>
      <c r="G17" s="81">
        <f t="shared" si="4"/>
        <v>3917542.4000000004</v>
      </c>
      <c r="H17" s="82">
        <f t="shared" si="0"/>
        <v>19096.61</v>
      </c>
      <c r="I17" s="82">
        <f t="shared" si="2"/>
        <v>6038.1400000000012</v>
      </c>
      <c r="J17" s="82">
        <f t="shared" si="1"/>
        <v>13058.47</v>
      </c>
      <c r="K17" s="81">
        <f t="shared" si="5"/>
        <v>88495.74</v>
      </c>
      <c r="L17" s="81">
        <f t="shared" si="6"/>
        <v>197953.41</v>
      </c>
      <c r="M17" s="81">
        <f t="shared" si="3"/>
        <v>3911504.2600000002</v>
      </c>
      <c r="O17" s="66"/>
      <c r="P17" s="68"/>
    </row>
    <row r="18" spans="1:16" x14ac:dyDescent="0.25">
      <c r="E18" s="59">
        <v>16</v>
      </c>
      <c r="F18" s="60">
        <v>42926</v>
      </c>
      <c r="G18" s="61">
        <f t="shared" si="4"/>
        <v>3911504.2600000002</v>
      </c>
      <c r="H18" s="62">
        <f t="shared" si="0"/>
        <v>19096.61</v>
      </c>
      <c r="I18" s="62">
        <f t="shared" si="2"/>
        <v>6058.26</v>
      </c>
      <c r="J18" s="62">
        <f t="shared" si="1"/>
        <v>13038.35</v>
      </c>
      <c r="K18" s="61">
        <f t="shared" si="5"/>
        <v>94554</v>
      </c>
      <c r="L18" s="61">
        <f t="shared" si="6"/>
        <v>210991.76</v>
      </c>
      <c r="M18" s="61">
        <f t="shared" si="3"/>
        <v>3905446.0000000005</v>
      </c>
      <c r="O18" s="66" t="s">
        <v>303</v>
      </c>
      <c r="P18" s="68"/>
    </row>
    <row r="19" spans="1:16" x14ac:dyDescent="0.25">
      <c r="A19" s="55"/>
      <c r="B19" s="55"/>
      <c r="E19" s="59">
        <v>17</v>
      </c>
      <c r="F19" s="60">
        <v>42957</v>
      </c>
      <c r="G19" s="61">
        <f t="shared" si="4"/>
        <v>3905446.0000000005</v>
      </c>
      <c r="H19" s="62">
        <f t="shared" si="0"/>
        <v>19096.61</v>
      </c>
      <c r="I19" s="62">
        <f t="shared" si="2"/>
        <v>6078.4600000000009</v>
      </c>
      <c r="J19" s="62">
        <f t="shared" si="1"/>
        <v>13018.15</v>
      </c>
      <c r="K19" s="61">
        <f t="shared" si="5"/>
        <v>100632.46</v>
      </c>
      <c r="L19" s="61">
        <f t="shared" si="6"/>
        <v>224009.91</v>
      </c>
      <c r="M19" s="61">
        <f t="shared" si="3"/>
        <v>3899367.5400000005</v>
      </c>
      <c r="O19" s="66"/>
      <c r="P19" s="68"/>
    </row>
    <row r="20" spans="1:16" x14ac:dyDescent="0.25">
      <c r="E20" s="59">
        <v>18</v>
      </c>
      <c r="F20" s="60">
        <v>42988</v>
      </c>
      <c r="G20" s="61">
        <f t="shared" si="4"/>
        <v>3899367.5400000005</v>
      </c>
      <c r="H20" s="62">
        <f t="shared" si="0"/>
        <v>19096.61</v>
      </c>
      <c r="I20" s="62">
        <f t="shared" si="2"/>
        <v>6098.7200000000012</v>
      </c>
      <c r="J20" s="62">
        <f t="shared" si="1"/>
        <v>12997.89</v>
      </c>
      <c r="K20" s="61">
        <f t="shared" si="5"/>
        <v>106731.18000000001</v>
      </c>
      <c r="L20" s="61">
        <f t="shared" si="6"/>
        <v>237007.8</v>
      </c>
      <c r="M20" s="61">
        <f t="shared" si="3"/>
        <v>3893268.8200000003</v>
      </c>
      <c r="O20" s="66" t="s">
        <v>306</v>
      </c>
      <c r="P20" s="83">
        <f>P$16/2</f>
        <v>14493</v>
      </c>
    </row>
    <row r="21" spans="1:16" x14ac:dyDescent="0.25">
      <c r="E21" s="59">
        <v>19</v>
      </c>
      <c r="F21" s="60">
        <v>43018</v>
      </c>
      <c r="G21" s="61">
        <f t="shared" si="4"/>
        <v>3893268.8200000003</v>
      </c>
      <c r="H21" s="62">
        <f t="shared" si="0"/>
        <v>19096.61</v>
      </c>
      <c r="I21" s="62">
        <f t="shared" si="2"/>
        <v>6119.0500000000011</v>
      </c>
      <c r="J21" s="62">
        <f t="shared" si="1"/>
        <v>12977.56</v>
      </c>
      <c r="K21" s="61">
        <f t="shared" si="5"/>
        <v>112850.23000000001</v>
      </c>
      <c r="L21" s="61">
        <f t="shared" si="6"/>
        <v>249985.36</v>
      </c>
      <c r="M21" s="61">
        <f t="shared" si="3"/>
        <v>3887149.7700000005</v>
      </c>
      <c r="O21" s="73" t="s">
        <v>310</v>
      </c>
      <c r="P21" s="84">
        <f>P$16/2</f>
        <v>14493</v>
      </c>
    </row>
    <row r="22" spans="1:16" x14ac:dyDescent="0.25">
      <c r="E22" s="59">
        <v>20</v>
      </c>
      <c r="F22" s="60">
        <v>43049</v>
      </c>
      <c r="G22" s="61">
        <f t="shared" si="4"/>
        <v>3887149.7700000005</v>
      </c>
      <c r="H22" s="62">
        <f t="shared" si="0"/>
        <v>19096.61</v>
      </c>
      <c r="I22" s="62">
        <f t="shared" si="2"/>
        <v>6139.4400000000005</v>
      </c>
      <c r="J22" s="62">
        <f t="shared" si="1"/>
        <v>12957.17</v>
      </c>
      <c r="K22" s="61">
        <f t="shared" si="5"/>
        <v>118989.67000000001</v>
      </c>
      <c r="L22" s="61">
        <f t="shared" si="6"/>
        <v>262942.52999999997</v>
      </c>
      <c r="M22" s="61">
        <f t="shared" si="3"/>
        <v>3881010.3300000005</v>
      </c>
    </row>
    <row r="23" spans="1:16" x14ac:dyDescent="0.25">
      <c r="E23" s="59">
        <v>21</v>
      </c>
      <c r="F23" s="60">
        <v>43079</v>
      </c>
      <c r="G23" s="61">
        <f t="shared" si="4"/>
        <v>3881010.3300000005</v>
      </c>
      <c r="H23" s="62">
        <f t="shared" si="0"/>
        <v>19096.61</v>
      </c>
      <c r="I23" s="62">
        <f t="shared" si="2"/>
        <v>6159.91</v>
      </c>
      <c r="J23" s="62">
        <f t="shared" si="1"/>
        <v>12936.7</v>
      </c>
      <c r="K23" s="61">
        <f t="shared" si="5"/>
        <v>125149.58000000002</v>
      </c>
      <c r="L23" s="61">
        <f t="shared" si="6"/>
        <v>275879.23</v>
      </c>
      <c r="M23" s="61">
        <f t="shared" si="3"/>
        <v>3874850.4200000004</v>
      </c>
      <c r="O23" s="64" t="s">
        <v>311</v>
      </c>
      <c r="P23" s="65"/>
    </row>
    <row r="24" spans="1:16" x14ac:dyDescent="0.25">
      <c r="E24" s="59">
        <v>22</v>
      </c>
      <c r="F24" s="60">
        <v>43110</v>
      </c>
      <c r="G24" s="61">
        <f t="shared" si="4"/>
        <v>3874850.4200000004</v>
      </c>
      <c r="H24" s="62">
        <f t="shared" si="0"/>
        <v>19096.61</v>
      </c>
      <c r="I24" s="62">
        <f t="shared" si="2"/>
        <v>6180.4400000000005</v>
      </c>
      <c r="J24" s="62">
        <f t="shared" si="1"/>
        <v>12916.17</v>
      </c>
      <c r="K24" s="61">
        <f t="shared" si="5"/>
        <v>131330.02000000002</v>
      </c>
      <c r="L24" s="61">
        <f t="shared" si="6"/>
        <v>288795.39999999997</v>
      </c>
      <c r="M24" s="61">
        <f t="shared" si="3"/>
        <v>3868669.9800000004</v>
      </c>
      <c r="O24" s="66" t="s">
        <v>298</v>
      </c>
      <c r="P24" s="67">
        <v>1215</v>
      </c>
    </row>
    <row r="25" spans="1:16" x14ac:dyDescent="0.25">
      <c r="E25" s="59">
        <v>23</v>
      </c>
      <c r="F25" s="60">
        <v>43141</v>
      </c>
      <c r="G25" s="61">
        <f t="shared" si="4"/>
        <v>3868669.9800000004</v>
      </c>
      <c r="H25" s="62">
        <f t="shared" si="0"/>
        <v>19096.61</v>
      </c>
      <c r="I25" s="62">
        <f t="shared" si="2"/>
        <v>6201.0400000000009</v>
      </c>
      <c r="J25" s="62">
        <f t="shared" si="1"/>
        <v>12895.57</v>
      </c>
      <c r="K25" s="61">
        <f t="shared" si="5"/>
        <v>137531.06000000003</v>
      </c>
      <c r="L25" s="61">
        <f t="shared" si="6"/>
        <v>301690.96999999997</v>
      </c>
      <c r="M25" s="61">
        <f t="shared" si="3"/>
        <v>3862468.9400000004</v>
      </c>
      <c r="O25" s="66" t="s">
        <v>299</v>
      </c>
      <c r="P25" s="72">
        <v>32043</v>
      </c>
    </row>
    <row r="26" spans="1:16" x14ac:dyDescent="0.25">
      <c r="E26" s="59">
        <v>24</v>
      </c>
      <c r="F26" s="60">
        <v>43169</v>
      </c>
      <c r="G26" s="61">
        <f t="shared" si="4"/>
        <v>3862468.9400000004</v>
      </c>
      <c r="H26" s="62">
        <f t="shared" si="0"/>
        <v>19096.61</v>
      </c>
      <c r="I26" s="62">
        <f t="shared" si="2"/>
        <v>6221.7100000000009</v>
      </c>
      <c r="J26" s="62">
        <f t="shared" si="1"/>
        <v>12874.9</v>
      </c>
      <c r="K26" s="61">
        <f t="shared" si="5"/>
        <v>143752.77000000002</v>
      </c>
      <c r="L26" s="61">
        <f t="shared" si="6"/>
        <v>314565.87</v>
      </c>
      <c r="M26" s="61">
        <f t="shared" si="3"/>
        <v>3856247.2300000004</v>
      </c>
      <c r="O26" s="66"/>
      <c r="P26" s="68"/>
    </row>
    <row r="27" spans="1:16" x14ac:dyDescent="0.25">
      <c r="E27" s="59">
        <v>25</v>
      </c>
      <c r="F27" s="60">
        <v>43200</v>
      </c>
      <c r="G27" s="61">
        <f t="shared" si="4"/>
        <v>3856247.2300000004</v>
      </c>
      <c r="H27" s="62">
        <f t="shared" si="0"/>
        <v>19096.61</v>
      </c>
      <c r="I27" s="62">
        <f t="shared" si="2"/>
        <v>6242.4500000000007</v>
      </c>
      <c r="J27" s="62">
        <f t="shared" si="1"/>
        <v>12854.16</v>
      </c>
      <c r="K27" s="61">
        <f t="shared" si="5"/>
        <v>149995.22000000003</v>
      </c>
      <c r="L27" s="61">
        <f t="shared" si="6"/>
        <v>327420.02999999997</v>
      </c>
      <c r="M27" s="61">
        <f t="shared" si="3"/>
        <v>3850004.7800000003</v>
      </c>
      <c r="O27" s="66" t="s">
        <v>303</v>
      </c>
      <c r="P27" s="68"/>
    </row>
    <row r="28" spans="1:16" x14ac:dyDescent="0.25">
      <c r="E28" s="59">
        <v>26</v>
      </c>
      <c r="F28" s="60">
        <v>43230</v>
      </c>
      <c r="G28" s="61">
        <f t="shared" si="4"/>
        <v>3850004.7800000003</v>
      </c>
      <c r="H28" s="62">
        <f t="shared" si="0"/>
        <v>19096.61</v>
      </c>
      <c r="I28" s="62">
        <f t="shared" si="2"/>
        <v>6263.26</v>
      </c>
      <c r="J28" s="62">
        <f t="shared" si="1"/>
        <v>12833.35</v>
      </c>
      <c r="K28" s="61">
        <f t="shared" si="5"/>
        <v>156258.48000000004</v>
      </c>
      <c r="L28" s="61">
        <f t="shared" si="6"/>
        <v>340253.37999999995</v>
      </c>
      <c r="M28" s="61">
        <f t="shared" si="3"/>
        <v>3843741.5200000005</v>
      </c>
      <c r="O28" s="66"/>
      <c r="P28" s="68"/>
    </row>
    <row r="29" spans="1:16" x14ac:dyDescent="0.25">
      <c r="E29" s="59">
        <v>27</v>
      </c>
      <c r="F29" s="60">
        <v>43261</v>
      </c>
      <c r="G29" s="61">
        <f t="shared" si="4"/>
        <v>3843741.5200000005</v>
      </c>
      <c r="H29" s="62">
        <f t="shared" si="0"/>
        <v>19096.61</v>
      </c>
      <c r="I29" s="62">
        <f t="shared" si="2"/>
        <v>6284.1400000000012</v>
      </c>
      <c r="J29" s="62">
        <f t="shared" si="1"/>
        <v>12812.47</v>
      </c>
      <c r="K29" s="61">
        <f t="shared" si="5"/>
        <v>162542.62000000005</v>
      </c>
      <c r="L29" s="61">
        <f t="shared" si="6"/>
        <v>353065.84999999992</v>
      </c>
      <c r="M29" s="61">
        <f t="shared" si="3"/>
        <v>3837457.3800000004</v>
      </c>
      <c r="O29" s="66" t="s">
        <v>306</v>
      </c>
      <c r="P29" s="83">
        <f>P$25/3</f>
        <v>10681</v>
      </c>
    </row>
    <row r="30" spans="1:16" x14ac:dyDescent="0.25">
      <c r="E30" s="59">
        <v>28</v>
      </c>
      <c r="F30" s="60">
        <v>43291</v>
      </c>
      <c r="G30" s="61">
        <f t="shared" si="4"/>
        <v>3837457.3800000004</v>
      </c>
      <c r="H30" s="62">
        <f t="shared" si="0"/>
        <v>19096.61</v>
      </c>
      <c r="I30" s="62">
        <f t="shared" si="2"/>
        <v>6305.09</v>
      </c>
      <c r="J30" s="62">
        <f t="shared" si="1"/>
        <v>12791.52</v>
      </c>
      <c r="K30" s="61">
        <f t="shared" si="5"/>
        <v>168847.71000000005</v>
      </c>
      <c r="L30" s="61">
        <f t="shared" si="6"/>
        <v>365857.36999999994</v>
      </c>
      <c r="M30" s="61">
        <f t="shared" si="3"/>
        <v>3831152.2900000005</v>
      </c>
      <c r="O30" s="66" t="s">
        <v>307</v>
      </c>
      <c r="P30" s="83">
        <f t="shared" ref="P30:P31" si="7">P$25/3</f>
        <v>10681</v>
      </c>
    </row>
    <row r="31" spans="1:16" x14ac:dyDescent="0.25">
      <c r="E31" s="59">
        <v>29</v>
      </c>
      <c r="F31" s="60">
        <v>43322</v>
      </c>
      <c r="G31" s="61">
        <f t="shared" si="4"/>
        <v>3831152.2900000005</v>
      </c>
      <c r="H31" s="62">
        <f t="shared" si="0"/>
        <v>19096.61</v>
      </c>
      <c r="I31" s="62">
        <f t="shared" si="2"/>
        <v>6326.1</v>
      </c>
      <c r="J31" s="62">
        <f t="shared" si="1"/>
        <v>12770.51</v>
      </c>
      <c r="K31" s="61">
        <f t="shared" si="5"/>
        <v>175173.81000000006</v>
      </c>
      <c r="L31" s="61">
        <f t="shared" si="6"/>
        <v>378627.87999999995</v>
      </c>
      <c r="M31" s="61">
        <f t="shared" si="3"/>
        <v>3824826.1900000004</v>
      </c>
      <c r="O31" s="73" t="s">
        <v>312</v>
      </c>
      <c r="P31" s="84">
        <f t="shared" si="7"/>
        <v>10681</v>
      </c>
    </row>
    <row r="32" spans="1:16" x14ac:dyDescent="0.25">
      <c r="E32" s="59">
        <v>30</v>
      </c>
      <c r="F32" s="60">
        <v>43353</v>
      </c>
      <c r="G32" s="61">
        <f t="shared" si="4"/>
        <v>3824826.1900000004</v>
      </c>
      <c r="H32" s="62">
        <f t="shared" si="0"/>
        <v>19096.61</v>
      </c>
      <c r="I32" s="62">
        <f t="shared" si="2"/>
        <v>6347.1900000000005</v>
      </c>
      <c r="J32" s="62">
        <f t="shared" si="1"/>
        <v>12749.42</v>
      </c>
      <c r="K32" s="61">
        <f t="shared" si="5"/>
        <v>181521.00000000006</v>
      </c>
      <c r="L32" s="61">
        <f t="shared" si="6"/>
        <v>391377.29999999993</v>
      </c>
      <c r="M32" s="61">
        <f t="shared" si="3"/>
        <v>3818479.0000000005</v>
      </c>
    </row>
    <row r="33" spans="5:16" x14ac:dyDescent="0.25">
      <c r="E33" s="59">
        <v>31</v>
      </c>
      <c r="F33" s="60">
        <v>43383</v>
      </c>
      <c r="G33" s="61">
        <f t="shared" si="4"/>
        <v>3818479.0000000005</v>
      </c>
      <c r="H33" s="62">
        <f t="shared" si="0"/>
        <v>19096.61</v>
      </c>
      <c r="I33" s="62">
        <f t="shared" si="2"/>
        <v>6368.35</v>
      </c>
      <c r="J33" s="62">
        <f t="shared" si="1"/>
        <v>12728.26</v>
      </c>
      <c r="K33" s="61">
        <f t="shared" si="5"/>
        <v>187889.35000000006</v>
      </c>
      <c r="L33" s="61">
        <f t="shared" si="6"/>
        <v>404105.55999999994</v>
      </c>
      <c r="M33" s="61">
        <f t="shared" si="3"/>
        <v>3812110.6500000004</v>
      </c>
      <c r="O33" s="64" t="s">
        <v>313</v>
      </c>
      <c r="P33" s="65"/>
    </row>
    <row r="34" spans="5:16" x14ac:dyDescent="0.25">
      <c r="E34" s="59">
        <v>32</v>
      </c>
      <c r="F34" s="60">
        <v>43414</v>
      </c>
      <c r="G34" s="61">
        <f t="shared" si="4"/>
        <v>3812110.6500000004</v>
      </c>
      <c r="H34" s="62">
        <f t="shared" si="0"/>
        <v>19096.61</v>
      </c>
      <c r="I34" s="62">
        <f t="shared" si="2"/>
        <v>6389.57</v>
      </c>
      <c r="J34" s="62">
        <f t="shared" si="1"/>
        <v>12707.04</v>
      </c>
      <c r="K34" s="61">
        <f t="shared" si="5"/>
        <v>194278.92000000007</v>
      </c>
      <c r="L34" s="61">
        <f t="shared" si="6"/>
        <v>416812.59999999992</v>
      </c>
      <c r="M34" s="61">
        <f t="shared" si="3"/>
        <v>3805721.0800000005</v>
      </c>
      <c r="O34" s="73" t="s">
        <v>314</v>
      </c>
      <c r="P34" s="74">
        <v>35000</v>
      </c>
    </row>
    <row r="35" spans="5:16" x14ac:dyDescent="0.25">
      <c r="E35" s="59">
        <v>33</v>
      </c>
      <c r="F35" s="60">
        <v>43444</v>
      </c>
      <c r="G35" s="61">
        <f t="shared" si="4"/>
        <v>3805721.0800000005</v>
      </c>
      <c r="H35" s="62">
        <f t="shared" si="0"/>
        <v>19096.61</v>
      </c>
      <c r="I35" s="62">
        <f t="shared" si="2"/>
        <v>6410.8700000000008</v>
      </c>
      <c r="J35" s="62">
        <f t="shared" si="1"/>
        <v>12685.74</v>
      </c>
      <c r="K35" s="61">
        <f t="shared" si="5"/>
        <v>200689.79000000007</v>
      </c>
      <c r="L35" s="61">
        <f t="shared" si="6"/>
        <v>429498.33999999991</v>
      </c>
      <c r="M35" s="61">
        <f t="shared" si="3"/>
        <v>3799310.2100000004</v>
      </c>
    </row>
    <row r="36" spans="5:16" x14ac:dyDescent="0.25">
      <c r="E36" s="59">
        <v>34</v>
      </c>
      <c r="F36" s="60">
        <v>43475</v>
      </c>
      <c r="G36" s="61">
        <f t="shared" si="4"/>
        <v>3799310.2100000004</v>
      </c>
      <c r="H36" s="62">
        <f t="shared" si="0"/>
        <v>19096.61</v>
      </c>
      <c r="I36" s="62">
        <f t="shared" si="2"/>
        <v>6432.24</v>
      </c>
      <c r="J36" s="62">
        <f t="shared" si="1"/>
        <v>12664.37</v>
      </c>
      <c r="K36" s="61">
        <f t="shared" si="5"/>
        <v>207122.03000000006</v>
      </c>
      <c r="L36" s="61">
        <f t="shared" si="6"/>
        <v>442162.7099999999</v>
      </c>
      <c r="M36" s="61">
        <f t="shared" si="3"/>
        <v>3792877.97</v>
      </c>
    </row>
    <row r="37" spans="5:16" x14ac:dyDescent="0.25">
      <c r="E37" s="59">
        <v>35</v>
      </c>
      <c r="F37" s="60">
        <v>43506</v>
      </c>
      <c r="G37" s="61">
        <f t="shared" si="4"/>
        <v>3792877.97</v>
      </c>
      <c r="H37" s="62">
        <f t="shared" si="0"/>
        <v>19096.61</v>
      </c>
      <c r="I37" s="62">
        <f t="shared" si="2"/>
        <v>6453.68</v>
      </c>
      <c r="J37" s="62">
        <f t="shared" si="1"/>
        <v>12642.93</v>
      </c>
      <c r="K37" s="61">
        <f t="shared" si="5"/>
        <v>213575.71000000005</v>
      </c>
      <c r="L37" s="61">
        <f t="shared" si="6"/>
        <v>454805.6399999999</v>
      </c>
      <c r="M37" s="61">
        <f t="shared" si="3"/>
        <v>3786424.29</v>
      </c>
      <c r="P37" s="85"/>
    </row>
    <row r="38" spans="5:16" s="85" customFormat="1" x14ac:dyDescent="0.25">
      <c r="E38" s="80">
        <v>36</v>
      </c>
      <c r="F38" s="86">
        <v>43534</v>
      </c>
      <c r="G38" s="81">
        <f t="shared" si="4"/>
        <v>3786424.29</v>
      </c>
      <c r="H38" s="82">
        <f t="shared" si="0"/>
        <v>19096.61</v>
      </c>
      <c r="I38" s="82">
        <f t="shared" si="2"/>
        <v>6475.2000000000007</v>
      </c>
      <c r="J38" s="82">
        <f t="shared" si="1"/>
        <v>12621.41</v>
      </c>
      <c r="K38" s="81">
        <f t="shared" si="5"/>
        <v>220050.91000000006</v>
      </c>
      <c r="L38" s="81">
        <f t="shared" si="6"/>
        <v>467427.04999999987</v>
      </c>
      <c r="M38" s="81">
        <f t="shared" si="3"/>
        <v>3779949.09</v>
      </c>
      <c r="O38" s="54"/>
      <c r="P38" s="54"/>
    </row>
    <row r="39" spans="5:16" x14ac:dyDescent="0.25">
      <c r="E39" s="59">
        <v>37</v>
      </c>
      <c r="F39" s="60">
        <v>43565</v>
      </c>
      <c r="G39" s="81">
        <f t="shared" si="4"/>
        <v>3779949.09</v>
      </c>
      <c r="H39" s="82">
        <f t="shared" si="0"/>
        <v>19096.61</v>
      </c>
      <c r="I39" s="82">
        <f t="shared" si="2"/>
        <v>6496.7800000000007</v>
      </c>
      <c r="J39" s="82">
        <f t="shared" si="1"/>
        <v>12599.83</v>
      </c>
      <c r="K39" s="81">
        <f t="shared" si="5"/>
        <v>226547.69000000006</v>
      </c>
      <c r="L39" s="81">
        <f t="shared" si="6"/>
        <v>480026.87999999989</v>
      </c>
      <c r="M39" s="81">
        <f t="shared" si="3"/>
        <v>3773452.31</v>
      </c>
    </row>
    <row r="40" spans="5:16" x14ac:dyDescent="0.25">
      <c r="E40" s="59">
        <v>38</v>
      </c>
      <c r="F40" s="60">
        <v>43595</v>
      </c>
      <c r="G40" s="81">
        <f t="shared" si="4"/>
        <v>3773452.31</v>
      </c>
      <c r="H40" s="82">
        <f t="shared" si="0"/>
        <v>19096.61</v>
      </c>
      <c r="I40" s="82">
        <f t="shared" si="2"/>
        <v>6518.4400000000005</v>
      </c>
      <c r="J40" s="82">
        <f t="shared" si="1"/>
        <v>12578.17</v>
      </c>
      <c r="K40" s="81">
        <f t="shared" si="5"/>
        <v>233066.13000000006</v>
      </c>
      <c r="L40" s="81">
        <f t="shared" si="6"/>
        <v>492605.04999999987</v>
      </c>
      <c r="M40" s="81">
        <f t="shared" si="3"/>
        <v>3766933.87</v>
      </c>
      <c r="O40" s="85"/>
    </row>
    <row r="41" spans="5:16" x14ac:dyDescent="0.25">
      <c r="E41" s="59">
        <v>39</v>
      </c>
      <c r="F41" s="60">
        <v>43626</v>
      </c>
      <c r="G41" s="81">
        <f t="shared" si="4"/>
        <v>3766933.87</v>
      </c>
      <c r="H41" s="82">
        <f t="shared" si="0"/>
        <v>19096.61</v>
      </c>
      <c r="I41" s="82">
        <f t="shared" si="2"/>
        <v>6540.16</v>
      </c>
      <c r="J41" s="82">
        <f t="shared" si="1"/>
        <v>12556.45</v>
      </c>
      <c r="K41" s="81">
        <f t="shared" si="5"/>
        <v>239606.29000000007</v>
      </c>
      <c r="L41" s="81">
        <f t="shared" si="6"/>
        <v>505161.49999999988</v>
      </c>
      <c r="M41" s="81">
        <f t="shared" si="3"/>
        <v>3760393.71</v>
      </c>
    </row>
    <row r="42" spans="5:16" x14ac:dyDescent="0.25">
      <c r="E42" s="59">
        <v>40</v>
      </c>
      <c r="F42" s="60">
        <v>43656</v>
      </c>
      <c r="G42" s="81">
        <f t="shared" si="4"/>
        <v>3760393.71</v>
      </c>
      <c r="H42" s="82">
        <f t="shared" si="0"/>
        <v>19096.61</v>
      </c>
      <c r="I42" s="82">
        <f t="shared" si="2"/>
        <v>6561.9600000000009</v>
      </c>
      <c r="J42" s="82">
        <f t="shared" si="1"/>
        <v>12534.65</v>
      </c>
      <c r="K42" s="81">
        <f t="shared" si="5"/>
        <v>246168.25000000006</v>
      </c>
      <c r="L42" s="81">
        <f t="shared" si="6"/>
        <v>517696.14999999991</v>
      </c>
      <c r="M42" s="81">
        <f t="shared" si="3"/>
        <v>3753831.75</v>
      </c>
    </row>
    <row r="43" spans="5:16" x14ac:dyDescent="0.25">
      <c r="E43" s="59">
        <v>41</v>
      </c>
      <c r="F43" s="60">
        <v>43687</v>
      </c>
      <c r="G43" s="81">
        <f t="shared" si="4"/>
        <v>3753831.75</v>
      </c>
      <c r="H43" s="82">
        <f t="shared" si="0"/>
        <v>19096.61</v>
      </c>
      <c r="I43" s="82">
        <f t="shared" si="2"/>
        <v>6583.84</v>
      </c>
      <c r="J43" s="82">
        <f t="shared" si="1"/>
        <v>12512.77</v>
      </c>
      <c r="K43" s="81">
        <f t="shared" si="5"/>
        <v>252752.09000000005</v>
      </c>
      <c r="L43" s="81">
        <f t="shared" si="6"/>
        <v>530208.91999999993</v>
      </c>
      <c r="M43" s="81">
        <f t="shared" si="3"/>
        <v>3747247.91</v>
      </c>
    </row>
    <row r="44" spans="5:16" x14ac:dyDescent="0.25">
      <c r="E44" s="59">
        <v>42</v>
      </c>
      <c r="F44" s="60">
        <v>43718</v>
      </c>
      <c r="G44" s="81">
        <f t="shared" si="4"/>
        <v>3747247.91</v>
      </c>
      <c r="H44" s="82">
        <f t="shared" si="0"/>
        <v>19096.61</v>
      </c>
      <c r="I44" s="82">
        <f t="shared" si="2"/>
        <v>6605.7800000000007</v>
      </c>
      <c r="J44" s="82">
        <f t="shared" si="1"/>
        <v>12490.83</v>
      </c>
      <c r="K44" s="81">
        <f t="shared" si="5"/>
        <v>259357.87000000005</v>
      </c>
      <c r="L44" s="81">
        <f t="shared" si="6"/>
        <v>542699.74999999988</v>
      </c>
      <c r="M44" s="81">
        <f t="shared" si="3"/>
        <v>3740642.1300000004</v>
      </c>
    </row>
    <row r="45" spans="5:16" x14ac:dyDescent="0.25">
      <c r="E45" s="59">
        <v>43</v>
      </c>
      <c r="F45" s="60">
        <v>43748</v>
      </c>
      <c r="G45" s="81">
        <f t="shared" si="4"/>
        <v>3740642.1300000004</v>
      </c>
      <c r="H45" s="82">
        <f t="shared" si="0"/>
        <v>19096.61</v>
      </c>
      <c r="I45" s="82">
        <f t="shared" si="2"/>
        <v>6627.8000000000011</v>
      </c>
      <c r="J45" s="82">
        <f t="shared" si="1"/>
        <v>12468.81</v>
      </c>
      <c r="K45" s="81">
        <f t="shared" si="5"/>
        <v>265985.67000000004</v>
      </c>
      <c r="L45" s="81">
        <f t="shared" si="6"/>
        <v>555168.55999999994</v>
      </c>
      <c r="M45" s="81">
        <f t="shared" si="3"/>
        <v>3734014.3300000005</v>
      </c>
    </row>
    <row r="46" spans="5:16" x14ac:dyDescent="0.25">
      <c r="E46" s="59">
        <v>44</v>
      </c>
      <c r="F46" s="60">
        <v>43779</v>
      </c>
      <c r="G46" s="81">
        <f t="shared" si="4"/>
        <v>3734014.3300000005</v>
      </c>
      <c r="H46" s="82">
        <f t="shared" si="0"/>
        <v>19096.61</v>
      </c>
      <c r="I46" s="82">
        <f t="shared" si="2"/>
        <v>6649.9000000000015</v>
      </c>
      <c r="J46" s="82">
        <f t="shared" si="1"/>
        <v>12446.71</v>
      </c>
      <c r="K46" s="81">
        <f t="shared" si="5"/>
        <v>272635.57000000007</v>
      </c>
      <c r="L46" s="81">
        <f t="shared" si="6"/>
        <v>567615.2699999999</v>
      </c>
      <c r="M46" s="81">
        <f t="shared" si="3"/>
        <v>3727364.4300000006</v>
      </c>
    </row>
    <row r="47" spans="5:16" x14ac:dyDescent="0.25">
      <c r="E47" s="59">
        <v>45</v>
      </c>
      <c r="F47" s="60">
        <v>43809</v>
      </c>
      <c r="G47" s="81">
        <f t="shared" si="4"/>
        <v>3727364.4300000006</v>
      </c>
      <c r="H47" s="82">
        <f t="shared" si="0"/>
        <v>19096.61</v>
      </c>
      <c r="I47" s="82">
        <f t="shared" si="2"/>
        <v>6672.0600000000013</v>
      </c>
      <c r="J47" s="82">
        <f t="shared" si="1"/>
        <v>12424.55</v>
      </c>
      <c r="K47" s="81">
        <f t="shared" si="5"/>
        <v>279307.63000000006</v>
      </c>
      <c r="L47" s="81">
        <f t="shared" si="6"/>
        <v>580039.81999999995</v>
      </c>
      <c r="M47" s="81">
        <f t="shared" si="3"/>
        <v>3720692.3700000006</v>
      </c>
    </row>
    <row r="48" spans="5:16" x14ac:dyDescent="0.25">
      <c r="E48" s="59">
        <v>46</v>
      </c>
      <c r="F48" s="60">
        <v>43840</v>
      </c>
      <c r="G48" s="81">
        <f t="shared" si="4"/>
        <v>3720692.3700000006</v>
      </c>
      <c r="H48" s="82">
        <f t="shared" si="0"/>
        <v>19096.61</v>
      </c>
      <c r="I48" s="82">
        <f t="shared" si="2"/>
        <v>6694.3000000000011</v>
      </c>
      <c r="J48" s="82">
        <f t="shared" si="1"/>
        <v>12402.31</v>
      </c>
      <c r="K48" s="81">
        <f t="shared" si="5"/>
        <v>286001.93000000005</v>
      </c>
      <c r="L48" s="81">
        <f t="shared" si="6"/>
        <v>592442.13</v>
      </c>
      <c r="M48" s="81">
        <f t="shared" si="3"/>
        <v>3713998.0700000008</v>
      </c>
    </row>
    <row r="49" spans="5:13" x14ac:dyDescent="0.25">
      <c r="E49" s="59">
        <v>47</v>
      </c>
      <c r="F49" s="60">
        <v>43871</v>
      </c>
      <c r="G49" s="81">
        <f t="shared" si="4"/>
        <v>3713998.0700000008</v>
      </c>
      <c r="H49" s="82">
        <f t="shared" si="0"/>
        <v>19096.61</v>
      </c>
      <c r="I49" s="82">
        <f t="shared" si="2"/>
        <v>6716.6200000000008</v>
      </c>
      <c r="J49" s="82">
        <f t="shared" si="1"/>
        <v>12379.99</v>
      </c>
      <c r="K49" s="81">
        <f t="shared" si="5"/>
        <v>292718.55000000005</v>
      </c>
      <c r="L49" s="81">
        <f t="shared" si="6"/>
        <v>604822.12</v>
      </c>
      <c r="M49" s="81">
        <f t="shared" si="3"/>
        <v>3707281.4500000007</v>
      </c>
    </row>
    <row r="50" spans="5:13" x14ac:dyDescent="0.25">
      <c r="E50" s="59">
        <v>48</v>
      </c>
      <c r="F50" s="60">
        <v>43900</v>
      </c>
      <c r="G50" s="81">
        <f t="shared" si="4"/>
        <v>3707281.4500000007</v>
      </c>
      <c r="H50" s="82">
        <f t="shared" si="0"/>
        <v>19096.61</v>
      </c>
      <c r="I50" s="82">
        <f t="shared" si="2"/>
        <v>6739.01</v>
      </c>
      <c r="J50" s="82">
        <f t="shared" si="1"/>
        <v>12357.6</v>
      </c>
      <c r="K50" s="81">
        <f t="shared" si="5"/>
        <v>299457.56000000006</v>
      </c>
      <c r="L50" s="81">
        <f t="shared" si="6"/>
        <v>617179.72</v>
      </c>
      <c r="M50" s="81">
        <f t="shared" si="3"/>
        <v>3700542.4400000009</v>
      </c>
    </row>
    <row r="51" spans="5:13" x14ac:dyDescent="0.25">
      <c r="E51" s="59">
        <v>49</v>
      </c>
      <c r="F51" s="60">
        <v>43931</v>
      </c>
      <c r="G51" s="81">
        <f t="shared" si="4"/>
        <v>3700542.4400000009</v>
      </c>
      <c r="H51" s="82">
        <f t="shared" si="0"/>
        <v>19096.61</v>
      </c>
      <c r="I51" s="82">
        <f t="shared" si="2"/>
        <v>6761.4700000000012</v>
      </c>
      <c r="J51" s="82">
        <f t="shared" si="1"/>
        <v>12335.14</v>
      </c>
      <c r="K51" s="81">
        <f t="shared" si="5"/>
        <v>306219.03000000003</v>
      </c>
      <c r="L51" s="81">
        <f t="shared" si="6"/>
        <v>629514.86</v>
      </c>
      <c r="M51" s="81">
        <f t="shared" si="3"/>
        <v>3693780.9700000007</v>
      </c>
    </row>
    <row r="52" spans="5:13" x14ac:dyDescent="0.25">
      <c r="E52" s="59">
        <v>50</v>
      </c>
      <c r="F52" s="60">
        <v>43961</v>
      </c>
      <c r="G52" s="81">
        <f t="shared" si="4"/>
        <v>3693780.9700000007</v>
      </c>
      <c r="H52" s="82">
        <f t="shared" si="0"/>
        <v>19096.61</v>
      </c>
      <c r="I52" s="82">
        <f t="shared" si="2"/>
        <v>6784.01</v>
      </c>
      <c r="J52" s="82">
        <f t="shared" si="1"/>
        <v>12312.6</v>
      </c>
      <c r="K52" s="81">
        <f t="shared" si="5"/>
        <v>313003.04000000004</v>
      </c>
      <c r="L52" s="81">
        <f t="shared" si="6"/>
        <v>641827.46</v>
      </c>
      <c r="M52" s="81">
        <f t="shared" si="3"/>
        <v>3686996.9600000009</v>
      </c>
    </row>
    <row r="53" spans="5:13" x14ac:dyDescent="0.25">
      <c r="E53" s="59">
        <v>51</v>
      </c>
      <c r="F53" s="60">
        <v>43992</v>
      </c>
      <c r="G53" s="81">
        <f t="shared" si="4"/>
        <v>3686996.9600000009</v>
      </c>
      <c r="H53" s="82">
        <f t="shared" si="0"/>
        <v>19096.61</v>
      </c>
      <c r="I53" s="82">
        <f t="shared" si="2"/>
        <v>6806.6200000000008</v>
      </c>
      <c r="J53" s="82">
        <f t="shared" si="1"/>
        <v>12289.99</v>
      </c>
      <c r="K53" s="81">
        <f t="shared" si="5"/>
        <v>319809.66000000003</v>
      </c>
      <c r="L53" s="81">
        <f t="shared" si="6"/>
        <v>654117.44999999995</v>
      </c>
      <c r="M53" s="81">
        <f t="shared" si="3"/>
        <v>3680190.3400000008</v>
      </c>
    </row>
    <row r="54" spans="5:13" x14ac:dyDescent="0.25">
      <c r="E54" s="59">
        <v>52</v>
      </c>
      <c r="F54" s="60">
        <v>44022</v>
      </c>
      <c r="G54" s="81">
        <f t="shared" si="4"/>
        <v>3680190.3400000008</v>
      </c>
      <c r="H54" s="82">
        <f t="shared" si="0"/>
        <v>19096.61</v>
      </c>
      <c r="I54" s="82">
        <f t="shared" si="2"/>
        <v>6829.3100000000013</v>
      </c>
      <c r="J54" s="82">
        <f t="shared" si="1"/>
        <v>12267.3</v>
      </c>
      <c r="K54" s="81">
        <f t="shared" si="5"/>
        <v>326638.97000000003</v>
      </c>
      <c r="L54" s="81">
        <f t="shared" si="6"/>
        <v>666384.75</v>
      </c>
      <c r="M54" s="81">
        <f t="shared" si="3"/>
        <v>3673361.0300000007</v>
      </c>
    </row>
    <row r="55" spans="5:13" x14ac:dyDescent="0.25">
      <c r="E55" s="59">
        <v>53</v>
      </c>
      <c r="F55" s="60">
        <v>44053</v>
      </c>
      <c r="G55" s="81">
        <f t="shared" si="4"/>
        <v>3673361.0300000007</v>
      </c>
      <c r="H55" s="82">
        <f t="shared" si="0"/>
        <v>19096.61</v>
      </c>
      <c r="I55" s="82">
        <f t="shared" si="2"/>
        <v>6852.07</v>
      </c>
      <c r="J55" s="82">
        <f t="shared" si="1"/>
        <v>12244.54</v>
      </c>
      <c r="K55" s="81">
        <f t="shared" si="5"/>
        <v>333491.04000000004</v>
      </c>
      <c r="L55" s="81">
        <f t="shared" si="6"/>
        <v>678629.29</v>
      </c>
      <c r="M55" s="81">
        <f t="shared" si="3"/>
        <v>3666508.9600000009</v>
      </c>
    </row>
    <row r="56" spans="5:13" x14ac:dyDescent="0.25">
      <c r="E56" s="59">
        <v>54</v>
      </c>
      <c r="F56" s="60">
        <v>44084</v>
      </c>
      <c r="G56" s="81">
        <f t="shared" si="4"/>
        <v>3666508.9600000009</v>
      </c>
      <c r="H56" s="82">
        <f t="shared" si="0"/>
        <v>19096.61</v>
      </c>
      <c r="I56" s="82">
        <f t="shared" si="2"/>
        <v>6874.91</v>
      </c>
      <c r="J56" s="82">
        <f t="shared" si="1"/>
        <v>12221.7</v>
      </c>
      <c r="K56" s="81">
        <f t="shared" si="5"/>
        <v>340365.95</v>
      </c>
      <c r="L56" s="81">
        <f t="shared" si="6"/>
        <v>690850.99</v>
      </c>
      <c r="M56" s="81">
        <f t="shared" si="3"/>
        <v>3659634.0500000007</v>
      </c>
    </row>
    <row r="57" spans="5:13" x14ac:dyDescent="0.25">
      <c r="E57" s="59">
        <v>55</v>
      </c>
      <c r="F57" s="60">
        <v>44114</v>
      </c>
      <c r="G57" s="81">
        <f t="shared" si="4"/>
        <v>3659634.0500000007</v>
      </c>
      <c r="H57" s="82">
        <f t="shared" si="0"/>
        <v>19096.61</v>
      </c>
      <c r="I57" s="82">
        <f t="shared" si="2"/>
        <v>6897.83</v>
      </c>
      <c r="J57" s="82">
        <f t="shared" si="1"/>
        <v>12198.78</v>
      </c>
      <c r="K57" s="81">
        <f t="shared" si="5"/>
        <v>347263.78</v>
      </c>
      <c r="L57" s="81">
        <f t="shared" si="6"/>
        <v>703049.77</v>
      </c>
      <c r="M57" s="81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87" t="s">
        <v>315</v>
      </c>
      <c r="B1" s="87"/>
      <c r="K1" s="12" t="s">
        <v>316</v>
      </c>
    </row>
    <row r="2" spans="1:23" x14ac:dyDescent="0.25">
      <c r="A2" s="31" t="s">
        <v>317</v>
      </c>
      <c r="B2" s="88">
        <v>5666.67</v>
      </c>
      <c r="D2" s="89">
        <f>B2*12</f>
        <v>68000.040000000008</v>
      </c>
    </row>
    <row r="3" spans="1:23" x14ac:dyDescent="0.25">
      <c r="A3" s="31" t="s">
        <v>318</v>
      </c>
      <c r="B3" s="88">
        <v>5666.67</v>
      </c>
      <c r="D3" s="89">
        <f t="shared" ref="D3:D12" si="0">B3*12</f>
        <v>68000.040000000008</v>
      </c>
    </row>
    <row r="4" spans="1:23" x14ac:dyDescent="0.25">
      <c r="A4" s="31" t="s">
        <v>319</v>
      </c>
      <c r="B4" s="88">
        <v>5666.67</v>
      </c>
      <c r="D4" s="89">
        <f t="shared" si="0"/>
        <v>68000.040000000008</v>
      </c>
      <c r="K4" s="90">
        <v>42370</v>
      </c>
      <c r="L4" s="90">
        <v>42402</v>
      </c>
      <c r="M4" s="90">
        <v>42434</v>
      </c>
      <c r="N4" s="90">
        <v>42466</v>
      </c>
      <c r="O4" s="90">
        <v>42498</v>
      </c>
      <c r="P4" s="90">
        <v>42530</v>
      </c>
      <c r="Q4" s="90">
        <v>42562</v>
      </c>
      <c r="R4" s="90">
        <v>42594</v>
      </c>
      <c r="S4" s="90">
        <v>42626</v>
      </c>
      <c r="T4" s="90">
        <v>42658</v>
      </c>
      <c r="U4" s="90">
        <v>42690</v>
      </c>
      <c r="V4" s="90">
        <v>42722</v>
      </c>
      <c r="W4" s="91" t="s">
        <v>320</v>
      </c>
    </row>
    <row r="5" spans="1:23" x14ac:dyDescent="0.25">
      <c r="A5" s="31" t="s">
        <v>321</v>
      </c>
      <c r="B5" s="88">
        <v>5666.67</v>
      </c>
      <c r="D5" s="89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322</v>
      </c>
      <c r="B6" s="88">
        <v>5666.67</v>
      </c>
      <c r="D6" s="89">
        <f t="shared" si="0"/>
        <v>68000.040000000008</v>
      </c>
    </row>
    <row r="7" spans="1:23" x14ac:dyDescent="0.25">
      <c r="B7" s="88"/>
      <c r="D7" s="89"/>
      <c r="J7" s="31" t="s">
        <v>323</v>
      </c>
      <c r="K7" s="92">
        <v>9137</v>
      </c>
      <c r="L7" s="92"/>
      <c r="M7" s="92"/>
      <c r="N7" s="92">
        <v>9137</v>
      </c>
      <c r="O7" s="92"/>
      <c r="P7" s="92"/>
      <c r="Q7" s="92">
        <v>9137</v>
      </c>
      <c r="R7" s="92"/>
      <c r="S7" s="92"/>
      <c r="T7" s="92"/>
      <c r="U7" s="92"/>
      <c r="V7" s="92"/>
      <c r="W7" s="92">
        <f>SUM(K7:V7)</f>
        <v>27411</v>
      </c>
    </row>
    <row r="8" spans="1:23" x14ac:dyDescent="0.25">
      <c r="A8" s="31" t="s">
        <v>324</v>
      </c>
      <c r="B8" s="88">
        <v>6516.67</v>
      </c>
      <c r="D8" s="89">
        <f t="shared" si="0"/>
        <v>78200.040000000008</v>
      </c>
      <c r="J8" s="31" t="s">
        <v>325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>
        <f t="shared" ref="W8:W12" si="1">SUM(K8:V8)</f>
        <v>0</v>
      </c>
    </row>
    <row r="9" spans="1:23" x14ac:dyDescent="0.25">
      <c r="A9" s="31" t="s">
        <v>326</v>
      </c>
      <c r="B9" s="88">
        <v>6516.67</v>
      </c>
      <c r="D9" s="89">
        <f t="shared" si="0"/>
        <v>78200.040000000008</v>
      </c>
      <c r="J9" s="31" t="s">
        <v>327</v>
      </c>
      <c r="K9" s="92">
        <v>0</v>
      </c>
      <c r="L9" s="92"/>
      <c r="M9" s="92"/>
      <c r="N9" s="92">
        <v>6282</v>
      </c>
      <c r="O9" s="92"/>
      <c r="P9" s="92"/>
      <c r="Q9" s="92">
        <v>6282</v>
      </c>
      <c r="R9" s="92"/>
      <c r="S9" s="92"/>
      <c r="T9" s="92"/>
      <c r="U9" s="92"/>
      <c r="V9" s="92"/>
      <c r="W9" s="92">
        <f t="shared" si="1"/>
        <v>12564</v>
      </c>
    </row>
    <row r="10" spans="1:23" x14ac:dyDescent="0.25">
      <c r="A10" s="31" t="s">
        <v>328</v>
      </c>
      <c r="B10" s="88">
        <v>6516.67</v>
      </c>
      <c r="D10" s="89">
        <f t="shared" si="0"/>
        <v>78200.040000000008</v>
      </c>
      <c r="J10" s="31" t="s">
        <v>329</v>
      </c>
      <c r="K10" s="92"/>
      <c r="L10" s="92"/>
      <c r="M10" s="92"/>
      <c r="N10" s="92"/>
      <c r="O10" s="92">
        <f>D53</f>
        <v>4204.8355000000001</v>
      </c>
      <c r="P10" s="92"/>
      <c r="Q10" s="92"/>
      <c r="R10" s="92"/>
      <c r="S10" s="92"/>
      <c r="T10" s="92">
        <v>0</v>
      </c>
      <c r="U10" s="92">
        <f>D54</f>
        <v>4204.8355000000001</v>
      </c>
      <c r="V10" s="92"/>
      <c r="W10" s="92">
        <f t="shared" si="1"/>
        <v>8409.6710000000003</v>
      </c>
    </row>
    <row r="11" spans="1:23" x14ac:dyDescent="0.25">
      <c r="A11" s="31" t="s">
        <v>330</v>
      </c>
      <c r="B11" s="88">
        <v>6516.67</v>
      </c>
      <c r="D11" s="89">
        <f t="shared" si="0"/>
        <v>78200.040000000008</v>
      </c>
      <c r="J11" s="31" t="s">
        <v>331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f>D70</f>
        <v>1773.9150025162505</v>
      </c>
      <c r="Q11" s="92">
        <v>0</v>
      </c>
      <c r="R11" s="92">
        <v>0</v>
      </c>
      <c r="S11" s="92"/>
      <c r="T11" s="92">
        <f>D71</f>
        <v>1773.9150025162505</v>
      </c>
      <c r="U11" s="92"/>
      <c r="V11" s="92">
        <f>D72</f>
        <v>1773.9150025162505</v>
      </c>
      <c r="W11" s="92">
        <f t="shared" si="1"/>
        <v>5321.7450075487513</v>
      </c>
    </row>
    <row r="12" spans="1:23" ht="17.25" x14ac:dyDescent="0.4">
      <c r="A12" s="31" t="s">
        <v>332</v>
      </c>
      <c r="B12" s="88">
        <v>6516.67</v>
      </c>
      <c r="D12" s="93">
        <f t="shared" si="0"/>
        <v>78200.040000000008</v>
      </c>
      <c r="J12" s="31" t="s">
        <v>333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f>D73</f>
        <v>1773.9150025162505</v>
      </c>
      <c r="W12" s="92">
        <f t="shared" si="1"/>
        <v>1773.9150025162505</v>
      </c>
    </row>
    <row r="13" spans="1:23" x14ac:dyDescent="0.25">
      <c r="B13" s="8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</row>
    <row r="14" spans="1:23" x14ac:dyDescent="0.25">
      <c r="A14" s="31" t="s">
        <v>334</v>
      </c>
      <c r="B14" s="88"/>
      <c r="D14" s="89">
        <f>SUM(D2:D12)</f>
        <v>731000.40000000026</v>
      </c>
      <c r="J14" s="31" t="s">
        <v>335</v>
      </c>
      <c r="K14" s="92">
        <f t="shared" ref="K14:W14" si="2">SUM(K7:K12)</f>
        <v>9137</v>
      </c>
      <c r="L14" s="92">
        <f t="shared" si="2"/>
        <v>0</v>
      </c>
      <c r="M14" s="92">
        <f t="shared" si="2"/>
        <v>0</v>
      </c>
      <c r="N14" s="92">
        <f t="shared" si="2"/>
        <v>15419</v>
      </c>
      <c r="O14" s="92">
        <f t="shared" si="2"/>
        <v>4204.8355000000001</v>
      </c>
      <c r="P14" s="92">
        <f t="shared" si="2"/>
        <v>1773.9150025162505</v>
      </c>
      <c r="Q14" s="92">
        <f t="shared" si="2"/>
        <v>15419</v>
      </c>
      <c r="R14" s="92">
        <f t="shared" si="2"/>
        <v>0</v>
      </c>
      <c r="S14" s="92">
        <f t="shared" si="2"/>
        <v>0</v>
      </c>
      <c r="T14" s="92">
        <f t="shared" si="2"/>
        <v>1773.9150025162505</v>
      </c>
      <c r="U14" s="92">
        <f t="shared" si="2"/>
        <v>4204.8355000000001</v>
      </c>
      <c r="V14" s="92">
        <f t="shared" si="2"/>
        <v>3547.830005032501</v>
      </c>
      <c r="W14" s="92">
        <f t="shared" si="2"/>
        <v>55480.331010065005</v>
      </c>
    </row>
    <row r="15" spans="1:23" x14ac:dyDescent="0.25">
      <c r="A15" s="31" t="s">
        <v>336</v>
      </c>
      <c r="B15" s="88"/>
      <c r="D15" s="89">
        <f>D14*0.05</f>
        <v>36550.020000000011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</row>
    <row r="16" spans="1:23" x14ac:dyDescent="0.25">
      <c r="A16" s="31" t="s">
        <v>337</v>
      </c>
      <c r="B16" s="88"/>
      <c r="D16" s="89">
        <f>D15*0.25</f>
        <v>9137.5050000000028</v>
      </c>
      <c r="E16" s="94">
        <v>42303</v>
      </c>
    </row>
    <row r="17" spans="1:5" x14ac:dyDescent="0.25">
      <c r="A17" s="95" t="s">
        <v>338</v>
      </c>
      <c r="B17" s="88"/>
      <c r="D17" s="89">
        <f>D15*0.25</f>
        <v>9137.5050000000028</v>
      </c>
      <c r="E17" s="94">
        <v>42395</v>
      </c>
    </row>
    <row r="18" spans="1:5" x14ac:dyDescent="0.25">
      <c r="A18" s="31" t="s">
        <v>339</v>
      </c>
      <c r="B18" s="88"/>
      <c r="D18" s="89">
        <f>D15*0.25</f>
        <v>9137.5050000000028</v>
      </c>
      <c r="E18" s="94">
        <v>42486</v>
      </c>
    </row>
    <row r="19" spans="1:5" x14ac:dyDescent="0.25">
      <c r="A19" s="31" t="s">
        <v>340</v>
      </c>
      <c r="B19" s="88"/>
      <c r="D19" s="89">
        <f>D15*0.25</f>
        <v>9137.5050000000028</v>
      </c>
      <c r="E19" s="94">
        <v>42577</v>
      </c>
    </row>
    <row r="20" spans="1:5" x14ac:dyDescent="0.25">
      <c r="B20" s="88"/>
      <c r="D20" s="89"/>
    </row>
    <row r="21" spans="1:5" x14ac:dyDescent="0.25">
      <c r="B21" s="88"/>
      <c r="D21" s="89"/>
    </row>
    <row r="22" spans="1:5" x14ac:dyDescent="0.25">
      <c r="A22" s="241" t="s">
        <v>341</v>
      </c>
      <c r="B22" s="241"/>
      <c r="D22" s="89"/>
    </row>
    <row r="23" spans="1:5" x14ac:dyDescent="0.25">
      <c r="A23" s="241"/>
      <c r="B23" s="241"/>
      <c r="D23" s="89"/>
    </row>
    <row r="24" spans="1:5" x14ac:dyDescent="0.25">
      <c r="A24" s="31" t="s">
        <v>342</v>
      </c>
      <c r="B24" s="88">
        <f>47300*5</f>
        <v>236500</v>
      </c>
      <c r="D24" s="89"/>
    </row>
    <row r="25" spans="1:5" x14ac:dyDescent="0.25">
      <c r="A25" s="31" t="s">
        <v>343</v>
      </c>
      <c r="B25" s="88">
        <f>53212.5*5</f>
        <v>266062.5</v>
      </c>
      <c r="D25" s="89"/>
    </row>
    <row r="26" spans="1:5" ht="15.75" thickBot="1" x14ac:dyDescent="0.3">
      <c r="B26" s="96">
        <f>SUM(B24:B25)</f>
        <v>502562.5</v>
      </c>
      <c r="D26" s="89"/>
    </row>
    <row r="27" spans="1:5" ht="15.75" thickTop="1" x14ac:dyDescent="0.25">
      <c r="B27" s="88"/>
    </row>
    <row r="28" spans="1:5" x14ac:dyDescent="0.25">
      <c r="A28" s="31" t="s">
        <v>344</v>
      </c>
      <c r="B28" s="88">
        <f>B26*5%</f>
        <v>25128.125</v>
      </c>
    </row>
    <row r="29" spans="1:5" x14ac:dyDescent="0.25">
      <c r="B29" s="88"/>
    </row>
    <row r="30" spans="1:5" x14ac:dyDescent="0.25">
      <c r="A30" s="31" t="s">
        <v>345</v>
      </c>
      <c r="B30" s="88">
        <v>12564.06</v>
      </c>
      <c r="E30" s="94">
        <v>42280</v>
      </c>
    </row>
    <row r="31" spans="1:5" x14ac:dyDescent="0.25">
      <c r="A31" s="31" t="s">
        <v>346</v>
      </c>
      <c r="B31" s="88">
        <v>6282.03</v>
      </c>
      <c r="E31" s="94">
        <v>42463</v>
      </c>
    </row>
    <row r="32" spans="1:5" x14ac:dyDescent="0.25">
      <c r="A32" s="31" t="s">
        <v>347</v>
      </c>
      <c r="B32" s="88">
        <v>6282.03</v>
      </c>
      <c r="E32" s="94">
        <v>42554</v>
      </c>
    </row>
    <row r="33" spans="1:8" s="12" customFormat="1" ht="15.75" thickBot="1" x14ac:dyDescent="0.3">
      <c r="A33" s="31"/>
      <c r="B33" s="96">
        <f>SUM(B30:B32)</f>
        <v>25128.12</v>
      </c>
    </row>
    <row r="34" spans="1:8" ht="15.75" thickTop="1" x14ac:dyDescent="0.25"/>
    <row r="35" spans="1:8" x14ac:dyDescent="0.25">
      <c r="A35" s="12" t="s">
        <v>348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349</v>
      </c>
      <c r="D37" s="89">
        <v>6282.03</v>
      </c>
      <c r="E37" s="94">
        <v>42280</v>
      </c>
    </row>
    <row r="38" spans="1:8" x14ac:dyDescent="0.25">
      <c r="A38" s="31" t="s">
        <v>350</v>
      </c>
      <c r="D38" s="89">
        <v>6282.03</v>
      </c>
      <c r="E38" s="94">
        <v>42372</v>
      </c>
    </row>
    <row r="39" spans="1:8" x14ac:dyDescent="0.25">
      <c r="A39" s="31" t="s">
        <v>351</v>
      </c>
      <c r="D39" s="89">
        <v>6282.03</v>
      </c>
      <c r="E39" s="94">
        <v>42463</v>
      </c>
    </row>
    <row r="40" spans="1:8" x14ac:dyDescent="0.25">
      <c r="A40" s="31" t="s">
        <v>352</v>
      </c>
      <c r="D40" s="89">
        <v>6282.03</v>
      </c>
      <c r="E40" s="94">
        <v>42554</v>
      </c>
    </row>
    <row r="41" spans="1:8" x14ac:dyDescent="0.25">
      <c r="D41" s="89"/>
      <c r="E41" s="97"/>
    </row>
    <row r="42" spans="1:8" x14ac:dyDescent="0.25">
      <c r="A42" s="12" t="s">
        <v>353</v>
      </c>
      <c r="B42" s="12" t="s">
        <v>354</v>
      </c>
      <c r="C42" s="12"/>
      <c r="D42" s="98"/>
      <c r="E42" s="99"/>
      <c r="F42" s="12"/>
      <c r="G42" s="12"/>
      <c r="H42" s="12"/>
    </row>
    <row r="43" spans="1:8" x14ac:dyDescent="0.25">
      <c r="D43" s="89"/>
      <c r="E43" s="97"/>
    </row>
    <row r="44" spans="1:8" x14ac:dyDescent="0.25">
      <c r="A44" s="31" t="s">
        <v>355</v>
      </c>
      <c r="B44" s="88">
        <v>31680</v>
      </c>
    </row>
    <row r="45" spans="1:8" x14ac:dyDescent="0.25">
      <c r="A45" s="31" t="s">
        <v>356</v>
      </c>
      <c r="B45" s="88">
        <v>32630.400000000001</v>
      </c>
    </row>
    <row r="46" spans="1:8" x14ac:dyDescent="0.25">
      <c r="A46" s="31" t="s">
        <v>357</v>
      </c>
      <c r="B46" s="88">
        <v>33609.31</v>
      </c>
    </row>
    <row r="47" spans="1:8" x14ac:dyDescent="0.25">
      <c r="A47" s="31" t="s">
        <v>358</v>
      </c>
      <c r="B47" s="88">
        <v>34617.589999999997</v>
      </c>
    </row>
    <row r="48" spans="1:8" ht="17.25" x14ac:dyDescent="0.4">
      <c r="A48" s="31" t="s">
        <v>359</v>
      </c>
      <c r="B48" s="100">
        <v>35656.120000000003</v>
      </c>
      <c r="D48" s="89"/>
      <c r="E48" s="94"/>
    </row>
    <row r="49" spans="1:14" x14ac:dyDescent="0.25">
      <c r="A49" s="31" t="s">
        <v>167</v>
      </c>
      <c r="B49" s="88">
        <f>SUM(B44:B48)</f>
        <v>168193.41999999998</v>
      </c>
      <c r="D49" s="89"/>
      <c r="E49" s="94"/>
    </row>
    <row r="51" spans="1:14" x14ac:dyDescent="0.25">
      <c r="A51" s="31" t="s">
        <v>360</v>
      </c>
      <c r="B51" s="89">
        <f>B49*0.05</f>
        <v>8409.6710000000003</v>
      </c>
    </row>
    <row r="53" spans="1:14" x14ac:dyDescent="0.25">
      <c r="A53" s="31" t="s">
        <v>361</v>
      </c>
      <c r="D53" s="89">
        <f>B$51/2</f>
        <v>4204.8355000000001</v>
      </c>
      <c r="E53" s="94">
        <v>42507</v>
      </c>
      <c r="F53" s="31" t="s">
        <v>362</v>
      </c>
      <c r="M53" s="97"/>
      <c r="N53" s="97"/>
    </row>
    <row r="54" spans="1:14" x14ac:dyDescent="0.25">
      <c r="A54" s="31" t="s">
        <v>363</v>
      </c>
      <c r="D54" s="89">
        <f>B$51/2</f>
        <v>4204.8355000000001</v>
      </c>
      <c r="E54" s="94">
        <v>42690</v>
      </c>
      <c r="F54" s="31" t="s">
        <v>362</v>
      </c>
      <c r="M54" s="101"/>
    </row>
    <row r="55" spans="1:14" x14ac:dyDescent="0.25">
      <c r="M55" s="101"/>
    </row>
    <row r="56" spans="1:14" x14ac:dyDescent="0.25">
      <c r="A56" s="12" t="s">
        <v>364</v>
      </c>
      <c r="M56" s="101"/>
    </row>
    <row r="57" spans="1:14" x14ac:dyDescent="0.25">
      <c r="M57" s="101"/>
    </row>
    <row r="58" spans="1:14" x14ac:dyDescent="0.25">
      <c r="A58" s="31" t="s">
        <v>365</v>
      </c>
      <c r="B58" s="31">
        <v>1215</v>
      </c>
      <c r="M58" s="101"/>
    </row>
    <row r="59" spans="1:14" x14ac:dyDescent="0.25">
      <c r="A59" s="31" t="s">
        <v>366</v>
      </c>
      <c r="B59" s="88">
        <v>22</v>
      </c>
      <c r="M59" s="101"/>
      <c r="N59" s="101"/>
    </row>
    <row r="61" spans="1:14" x14ac:dyDescent="0.25">
      <c r="A61" s="31" t="s">
        <v>355</v>
      </c>
      <c r="B61" s="88">
        <f>B58*B59</f>
        <v>26730</v>
      </c>
    </row>
    <row r="62" spans="1:14" x14ac:dyDescent="0.25">
      <c r="A62" s="31" t="s">
        <v>356</v>
      </c>
      <c r="B62" s="88">
        <f>B61*1.03</f>
        <v>27531.9</v>
      </c>
    </row>
    <row r="63" spans="1:14" x14ac:dyDescent="0.25">
      <c r="A63" s="31" t="s">
        <v>357</v>
      </c>
      <c r="B63" s="88">
        <f t="shared" ref="B63:B65" si="3">B62*1.03</f>
        <v>28357.857000000004</v>
      </c>
    </row>
    <row r="64" spans="1:14" x14ac:dyDescent="0.25">
      <c r="A64" s="31" t="s">
        <v>358</v>
      </c>
      <c r="B64" s="88">
        <f t="shared" si="3"/>
        <v>29208.592710000004</v>
      </c>
    </row>
    <row r="65" spans="1:11" ht="17.25" x14ac:dyDescent="0.4">
      <c r="A65" s="31" t="s">
        <v>359</v>
      </c>
      <c r="B65" s="100">
        <f t="shared" si="3"/>
        <v>30084.850491300007</v>
      </c>
      <c r="D65" s="89"/>
      <c r="E65" s="94"/>
    </row>
    <row r="66" spans="1:11" x14ac:dyDescent="0.25">
      <c r="A66" s="31" t="s">
        <v>167</v>
      </c>
      <c r="B66" s="88">
        <f>SUM(B61:B65)</f>
        <v>141913.20020130003</v>
      </c>
      <c r="D66" s="89"/>
      <c r="E66" s="94"/>
    </row>
    <row r="68" spans="1:11" x14ac:dyDescent="0.25">
      <c r="A68" s="31" t="s">
        <v>360</v>
      </c>
      <c r="B68" s="89">
        <f>B66*0.05</f>
        <v>7095.6600100650021</v>
      </c>
    </row>
    <row r="70" spans="1:11" x14ac:dyDescent="0.25">
      <c r="A70" s="31" t="s">
        <v>367</v>
      </c>
      <c r="D70" s="89">
        <f>B$68/4</f>
        <v>1773.9150025162505</v>
      </c>
      <c r="E70" s="94">
        <v>42673</v>
      </c>
      <c r="F70" s="31" t="s">
        <v>362</v>
      </c>
      <c r="J70" s="97"/>
      <c r="K70" s="97"/>
    </row>
    <row r="71" spans="1:11" x14ac:dyDescent="0.25">
      <c r="A71" s="31" t="s">
        <v>368</v>
      </c>
      <c r="D71" s="89">
        <f t="shared" ref="D71:D73" si="4">B$68/4</f>
        <v>1773.9150025162505</v>
      </c>
      <c r="E71" s="94">
        <f>E70+45</f>
        <v>42718</v>
      </c>
      <c r="F71" s="31" t="s">
        <v>362</v>
      </c>
      <c r="K71" s="97"/>
    </row>
    <row r="72" spans="1:11" x14ac:dyDescent="0.25">
      <c r="A72" s="31" t="s">
        <v>369</v>
      </c>
      <c r="D72" s="89">
        <f t="shared" si="4"/>
        <v>1773.9150025162505</v>
      </c>
      <c r="E72" s="94">
        <f>E71+45</f>
        <v>42763</v>
      </c>
      <c r="F72" s="31" t="s">
        <v>362</v>
      </c>
      <c r="K72" s="97"/>
    </row>
    <row r="73" spans="1:11" x14ac:dyDescent="0.25">
      <c r="A73" s="31" t="s">
        <v>370</v>
      </c>
      <c r="D73" s="89">
        <f t="shared" si="4"/>
        <v>1773.9150025162505</v>
      </c>
      <c r="E73" s="94">
        <f>E72+45</f>
        <v>42808</v>
      </c>
      <c r="F73" s="31" t="s">
        <v>362</v>
      </c>
      <c r="K73" s="97"/>
    </row>
    <row r="75" spans="1:11" x14ac:dyDescent="0.25">
      <c r="A75" s="12" t="s">
        <v>371</v>
      </c>
      <c r="B75" s="12" t="s">
        <v>372</v>
      </c>
      <c r="C75" s="12"/>
      <c r="D75" s="98"/>
      <c r="E75" s="99"/>
      <c r="F75" s="12"/>
      <c r="G75" s="12"/>
      <c r="H75" s="12"/>
    </row>
    <row r="76" spans="1:11" x14ac:dyDescent="0.25">
      <c r="D76" s="89"/>
      <c r="E76" s="97"/>
    </row>
    <row r="77" spans="1:11" x14ac:dyDescent="0.25">
      <c r="A77" s="31" t="s">
        <v>365</v>
      </c>
      <c r="B77" s="31">
        <v>1215</v>
      </c>
    </row>
    <row r="78" spans="1:11" x14ac:dyDescent="0.25">
      <c r="A78" s="31" t="s">
        <v>366</v>
      </c>
      <c r="B78" s="88">
        <v>22</v>
      </c>
    </row>
    <row r="80" spans="1:11" x14ac:dyDescent="0.25">
      <c r="A80" s="31" t="s">
        <v>355</v>
      </c>
      <c r="B80" s="88">
        <f>B77*B78</f>
        <v>26730</v>
      </c>
      <c r="C80" s="89"/>
    </row>
    <row r="81" spans="1:11" x14ac:dyDescent="0.25">
      <c r="A81" s="31" t="s">
        <v>356</v>
      </c>
      <c r="B81" s="88">
        <f>B80*1.03</f>
        <v>27531.9</v>
      </c>
    </row>
    <row r="82" spans="1:11" x14ac:dyDescent="0.25">
      <c r="A82" s="31" t="s">
        <v>357</v>
      </c>
      <c r="B82" s="88">
        <f t="shared" ref="B82:B84" si="5">B81*1.03</f>
        <v>28357.857000000004</v>
      </c>
    </row>
    <row r="83" spans="1:11" x14ac:dyDescent="0.25">
      <c r="A83" s="31" t="s">
        <v>358</v>
      </c>
      <c r="B83" s="88">
        <f t="shared" si="5"/>
        <v>29208.592710000004</v>
      </c>
    </row>
    <row r="84" spans="1:11" ht="17.25" x14ac:dyDescent="0.4">
      <c r="A84" s="31" t="s">
        <v>359</v>
      </c>
      <c r="B84" s="100">
        <f t="shared" si="5"/>
        <v>30084.850491300007</v>
      </c>
      <c r="D84" s="89"/>
      <c r="E84" s="94"/>
    </row>
    <row r="85" spans="1:11" x14ac:dyDescent="0.25">
      <c r="A85" s="31" t="s">
        <v>167</v>
      </c>
      <c r="B85" s="88">
        <f>SUM(B80:B84)</f>
        <v>141913.20020130003</v>
      </c>
      <c r="D85" s="89"/>
      <c r="E85" s="94"/>
    </row>
    <row r="87" spans="1:11" x14ac:dyDescent="0.25">
      <c r="A87" s="31" t="s">
        <v>360</v>
      </c>
      <c r="B87" s="89">
        <f>B85*0.05</f>
        <v>7095.6600100650021</v>
      </c>
    </row>
    <row r="89" spans="1:11" x14ac:dyDescent="0.25">
      <c r="A89" s="31" t="s">
        <v>367</v>
      </c>
      <c r="D89" s="89">
        <f>B$87/4</f>
        <v>1773.9150025162505</v>
      </c>
      <c r="E89" s="94">
        <v>42720</v>
      </c>
      <c r="F89" s="31" t="s">
        <v>362</v>
      </c>
      <c r="K89" s="101"/>
    </row>
    <row r="90" spans="1:11" x14ac:dyDescent="0.25">
      <c r="A90" s="31" t="s">
        <v>368</v>
      </c>
      <c r="D90" s="89">
        <f t="shared" ref="D90:D92" si="6">B$87/4</f>
        <v>1773.9150025162505</v>
      </c>
      <c r="E90" s="94">
        <f>E89+45</f>
        <v>42765</v>
      </c>
      <c r="F90" s="31" t="s">
        <v>362</v>
      </c>
      <c r="K90" s="101"/>
    </row>
    <row r="91" spans="1:11" x14ac:dyDescent="0.25">
      <c r="A91" s="31" t="s">
        <v>369</v>
      </c>
      <c r="D91" s="89">
        <f t="shared" si="6"/>
        <v>1773.9150025162505</v>
      </c>
      <c r="E91" s="94">
        <f>E90+45</f>
        <v>42810</v>
      </c>
      <c r="F91" s="31" t="s">
        <v>362</v>
      </c>
    </row>
    <row r="92" spans="1:11" x14ac:dyDescent="0.25">
      <c r="A92" s="31" t="s">
        <v>370</v>
      </c>
      <c r="D92" s="89">
        <f t="shared" si="6"/>
        <v>1773.9150025162505</v>
      </c>
      <c r="E92" s="94">
        <f>E91+45</f>
        <v>42855</v>
      </c>
      <c r="F92" s="31" t="s">
        <v>362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202</v>
      </c>
    </row>
    <row r="3" spans="1:20" s="19" customFormat="1" x14ac:dyDescent="0.25">
      <c r="D3" s="20" t="s">
        <v>203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204</v>
      </c>
      <c r="R3" s="23">
        <v>2015</v>
      </c>
      <c r="S3" s="21" t="s">
        <v>0</v>
      </c>
      <c r="T3" s="19" t="s">
        <v>205</v>
      </c>
    </row>
    <row r="4" spans="1:20" s="30" customFormat="1" x14ac:dyDescent="0.25">
      <c r="A4" s="24" t="s">
        <v>206</v>
      </c>
      <c r="B4" s="25" t="s">
        <v>207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208</v>
      </c>
      <c r="B5" s="32" t="s">
        <v>207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209</v>
      </c>
      <c r="B6" s="25" t="s">
        <v>207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210</v>
      </c>
      <c r="B7" s="32" t="s">
        <v>207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211</v>
      </c>
      <c r="B8" s="25" t="s">
        <v>207</v>
      </c>
      <c r="C8" s="25" t="s">
        <v>212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213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214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215</v>
      </c>
      <c r="B14" s="46" t="s">
        <v>216</v>
      </c>
      <c r="C14" s="46" t="s">
        <v>217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168</v>
      </c>
      <c r="B15" s="13" t="s">
        <v>207</v>
      </c>
      <c r="C15" s="13" t="s">
        <v>196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218</v>
      </c>
      <c r="B16" s="48" t="s">
        <v>207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219</v>
      </c>
      <c r="B17" s="13" t="s">
        <v>207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220</v>
      </c>
      <c r="B18" s="48" t="s">
        <v>207</v>
      </c>
      <c r="C18" s="48" t="s">
        <v>221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222</v>
      </c>
      <c r="B19" s="13" t="s">
        <v>207</v>
      </c>
      <c r="C19" s="13" t="s">
        <v>223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224</v>
      </c>
      <c r="B20" s="48" t="s">
        <v>207</v>
      </c>
      <c r="C20" s="48" t="s">
        <v>225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226</v>
      </c>
      <c r="B21" s="13" t="s">
        <v>207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227</v>
      </c>
      <c r="B22" s="48" t="s">
        <v>207</v>
      </c>
      <c r="C22" s="48" t="s">
        <v>228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229</v>
      </c>
      <c r="B23" s="13" t="s">
        <v>207</v>
      </c>
      <c r="C23" s="13" t="s">
        <v>230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169</v>
      </c>
      <c r="B24" s="48" t="s">
        <v>207</v>
      </c>
      <c r="C24" s="48" t="s">
        <v>194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231</v>
      </c>
      <c r="B25" s="13" t="s">
        <v>207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170</v>
      </c>
      <c r="B26" s="48" t="s">
        <v>207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171</v>
      </c>
      <c r="B27" s="48" t="s">
        <v>207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172</v>
      </c>
      <c r="B28" s="48" t="s">
        <v>207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232</v>
      </c>
      <c r="B29" s="13" t="s">
        <v>207</v>
      </c>
      <c r="C29" s="13" t="s">
        <v>233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234</v>
      </c>
      <c r="B30" s="48" t="s">
        <v>207</v>
      </c>
      <c r="C30" s="48" t="s">
        <v>235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236</v>
      </c>
      <c r="B31" s="13" t="s">
        <v>207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237</v>
      </c>
      <c r="B32" s="48" t="s">
        <v>207</v>
      </c>
      <c r="C32" s="48" t="s">
        <v>238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239</v>
      </c>
      <c r="B33" s="13" t="s">
        <v>207</v>
      </c>
      <c r="C33" s="13" t="s">
        <v>240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241</v>
      </c>
      <c r="B34" s="48" t="s">
        <v>207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242</v>
      </c>
      <c r="B35" s="13" t="s">
        <v>207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243</v>
      </c>
      <c r="B36" s="48" t="s">
        <v>207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244</v>
      </c>
      <c r="B37" s="13" t="s">
        <v>207</v>
      </c>
      <c r="C37" s="13" t="s">
        <v>245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246</v>
      </c>
      <c r="B38" s="48" t="s">
        <v>207</v>
      </c>
      <c r="C38" s="48" t="s">
        <v>247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248</v>
      </c>
      <c r="B39" s="13" t="s">
        <v>207</v>
      </c>
      <c r="C39" s="13" t="s">
        <v>249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173</v>
      </c>
      <c r="B40" s="48" t="s">
        <v>207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250</v>
      </c>
      <c r="B41" s="13" t="s">
        <v>207</v>
      </c>
      <c r="C41" s="13" t="s">
        <v>251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174</v>
      </c>
      <c r="B42" s="48" t="s">
        <v>207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252</v>
      </c>
      <c r="B43" s="13" t="s">
        <v>207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253</v>
      </c>
      <c r="B44" s="48" t="s">
        <v>207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254</v>
      </c>
      <c r="B45" s="13" t="s">
        <v>207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255</v>
      </c>
      <c r="B46" s="48" t="s">
        <v>207</v>
      </c>
      <c r="C46" s="48" t="s">
        <v>256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257</v>
      </c>
      <c r="B47" s="13" t="s">
        <v>207</v>
      </c>
      <c r="C47" s="13" t="s">
        <v>258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259</v>
      </c>
      <c r="B48" s="48" t="s">
        <v>207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260</v>
      </c>
      <c r="B49" s="13" t="s">
        <v>207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261</v>
      </c>
      <c r="B50" s="48" t="s">
        <v>207</v>
      </c>
      <c r="C50" s="48" t="s">
        <v>262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263</v>
      </c>
      <c r="B51" s="13" t="s">
        <v>207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264</v>
      </c>
      <c r="B52" s="48" t="s">
        <v>207</v>
      </c>
      <c r="C52" s="48" t="s">
        <v>265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266</v>
      </c>
      <c r="B53" s="13" t="s">
        <v>207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267</v>
      </c>
      <c r="B54" s="48" t="s">
        <v>207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268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269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270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271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272</v>
      </c>
      <c r="B64" s="40" t="s">
        <v>207</v>
      </c>
      <c r="C64" s="40" t="s">
        <v>273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274</v>
      </c>
      <c r="B65" s="40" t="s">
        <v>207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275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276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277</v>
      </c>
      <c r="B71" s="40" t="s">
        <v>207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278</v>
      </c>
      <c r="B73" s="40" t="s">
        <v>207</v>
      </c>
      <c r="C73" s="40" t="s">
        <v>279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280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281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282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283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284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285</v>
      </c>
      <c r="O83" s="52" t="s">
        <v>286</v>
      </c>
      <c r="P83" s="15">
        <v>90000</v>
      </c>
    </row>
    <row r="84" spans="1:19" x14ac:dyDescent="0.25">
      <c r="P84" s="53"/>
    </row>
    <row r="85" spans="1:19" x14ac:dyDescent="0.25">
      <c r="O85" s="52" t="s">
        <v>287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30"/>
  <sheetViews>
    <sheetView tabSelected="1" view="pageBreakPreview" zoomScale="70" zoomScaleNormal="100" zoomScaleSheetLayoutView="70" workbookViewId="0">
      <pane ySplit="5" topLeftCell="A6" activePane="bottomLeft" state="frozen"/>
      <selection pane="bottomLeft" activeCell="K197" sqref="K197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89" customWidth="1"/>
    <col min="4" max="15" width="13.7109375" style="188" hidden="1" customWidth="1" outlineLevel="1"/>
    <col min="16" max="17" width="17.140625" style="189" customWidth="1" collapsed="1"/>
    <col min="18" max="18" width="11.7109375" style="248" customWidth="1"/>
    <col min="19" max="19" width="63.7109375" customWidth="1"/>
    <col min="20" max="20" width="10.5703125" bestFit="1" customWidth="1"/>
    <col min="21" max="21" width="20.42578125" bestFit="1" customWidth="1"/>
    <col min="22" max="28" width="10.5703125" bestFit="1" customWidth="1"/>
  </cols>
  <sheetData>
    <row r="1" spans="1:19" ht="19.5" x14ac:dyDescent="0.25">
      <c r="A1" s="235" t="s">
        <v>393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42"/>
    </row>
    <row r="2" spans="1:19" ht="15.75" x14ac:dyDescent="0.25">
      <c r="A2" s="236" t="s">
        <v>394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43"/>
    </row>
    <row r="3" spans="1:19" x14ac:dyDescent="0.25">
      <c r="A3" s="126"/>
      <c r="B3" s="126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247"/>
    </row>
    <row r="4" spans="1:19" x14ac:dyDescent="0.25">
      <c r="A4" s="126"/>
      <c r="B4" s="126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247"/>
    </row>
    <row r="5" spans="1:19" s="11" customFormat="1" ht="21.75" thickBot="1" x14ac:dyDescent="0.3">
      <c r="A5" s="10"/>
      <c r="B5" s="10"/>
      <c r="C5" s="180" t="s">
        <v>288</v>
      </c>
      <c r="D5" s="192">
        <v>42736</v>
      </c>
      <c r="E5" s="192">
        <v>42767</v>
      </c>
      <c r="F5" s="192">
        <v>42795</v>
      </c>
      <c r="G5" s="192">
        <v>42826</v>
      </c>
      <c r="H5" s="192">
        <v>42856</v>
      </c>
      <c r="I5" s="192">
        <v>42887</v>
      </c>
      <c r="J5" s="192">
        <v>42917</v>
      </c>
      <c r="K5" s="192">
        <v>42948</v>
      </c>
      <c r="L5" s="192">
        <v>42979</v>
      </c>
      <c r="M5" s="192">
        <v>43009</v>
      </c>
      <c r="N5" s="192">
        <v>43040</v>
      </c>
      <c r="O5" s="192">
        <v>43070</v>
      </c>
      <c r="P5" s="180" t="s">
        <v>439</v>
      </c>
      <c r="Q5" s="180" t="s">
        <v>0</v>
      </c>
      <c r="R5" s="244" t="s">
        <v>609</v>
      </c>
      <c r="S5" s="180" t="s">
        <v>205</v>
      </c>
    </row>
    <row r="6" spans="1:19" x14ac:dyDescent="0.25">
      <c r="A6" s="1"/>
      <c r="B6" s="5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245"/>
    </row>
    <row r="7" spans="1:19" x14ac:dyDescent="0.25">
      <c r="A7" s="1" t="s">
        <v>1</v>
      </c>
      <c r="B7" s="5" t="s">
        <v>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245"/>
    </row>
    <row r="8" spans="1:19" x14ac:dyDescent="0.25">
      <c r="A8" s="1"/>
      <c r="B8" s="5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245"/>
    </row>
    <row r="9" spans="1:19" x14ac:dyDescent="0.25">
      <c r="A9" s="1" t="s">
        <v>3</v>
      </c>
      <c r="B9" s="5" t="s">
        <v>4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245"/>
    </row>
    <row r="10" spans="1:19" x14ac:dyDescent="0.25">
      <c r="A10" s="1" t="s">
        <v>5</v>
      </c>
      <c r="B10" s="5" t="s">
        <v>6</v>
      </c>
      <c r="C10" s="182">
        <f>SUM(C11:C25)</f>
        <v>1305992</v>
      </c>
      <c r="D10" s="182">
        <f>SUM(D11:D25)</f>
        <v>113478.08</v>
      </c>
      <c r="E10" s="182">
        <f t="shared" ref="E10:O10" si="0">SUM(E11:E25)</f>
        <v>113478.08</v>
      </c>
      <c r="F10" s="182">
        <f t="shared" si="0"/>
        <v>114155.5</v>
      </c>
      <c r="G10" s="182">
        <f t="shared" si="0"/>
        <v>114729.5</v>
      </c>
      <c r="H10" s="182">
        <f t="shared" si="0"/>
        <v>114729.5</v>
      </c>
      <c r="I10" s="182">
        <f t="shared" si="0"/>
        <v>115454.5</v>
      </c>
      <c r="J10" s="182">
        <f t="shared" si="0"/>
        <v>115454.5</v>
      </c>
      <c r="K10" s="182">
        <f t="shared" si="0"/>
        <v>116151.16</v>
      </c>
      <c r="L10" s="182">
        <f t="shared" si="0"/>
        <v>116151.16</v>
      </c>
      <c r="M10" s="182">
        <f t="shared" si="0"/>
        <v>116151.16</v>
      </c>
      <c r="N10" s="182">
        <f t="shared" si="0"/>
        <v>116296</v>
      </c>
      <c r="O10" s="182">
        <f t="shared" si="0"/>
        <v>120296</v>
      </c>
      <c r="P10" s="182">
        <f>SUM(P11:P25)</f>
        <v>1386525.14</v>
      </c>
      <c r="Q10" s="182">
        <f>IF(C10&lt;&gt;"",P10-C10,"")</f>
        <v>80533.139999999898</v>
      </c>
      <c r="R10" s="246">
        <f>IF(C10&lt;&gt;0,Q10/C10,"")</f>
        <v>6.1664344038860799E-2</v>
      </c>
    </row>
    <row r="11" spans="1:19" hidden="1" outlineLevel="1" x14ac:dyDescent="0.25">
      <c r="A11" s="1"/>
      <c r="B11" s="31" t="s">
        <v>400</v>
      </c>
      <c r="C11" s="176">
        <v>76944</v>
      </c>
      <c r="D11" s="176">
        <f>VLOOKUP($B11,'Min Rent 2017'!$A$5:$P$19,5,FALSE)</f>
        <v>6650</v>
      </c>
      <c r="E11" s="176">
        <f>VLOOKUP($B11,'Min Rent 2017'!$A$5:$P$19,6,FALSE)</f>
        <v>6650</v>
      </c>
      <c r="F11" s="176">
        <f>VLOOKUP($B11,'Min Rent 2017'!$A$5:$P$19,7,FALSE)</f>
        <v>6650</v>
      </c>
      <c r="G11" s="176">
        <f>VLOOKUP($B11,'Min Rent 2017'!$A$5:$P$19,8,FALSE)</f>
        <v>6650</v>
      </c>
      <c r="H11" s="176">
        <f>VLOOKUP($B11,'Min Rent 2017'!$A$5:$P$19,9,FALSE)</f>
        <v>6650</v>
      </c>
      <c r="I11" s="176">
        <f>VLOOKUP($B11,'Min Rent 2017'!$A$5:$P$19,10,FALSE)</f>
        <v>6650</v>
      </c>
      <c r="J11" s="176">
        <f>VLOOKUP($B11,'Min Rent 2017'!$A$5:$P$19,11,FALSE)</f>
        <v>6650</v>
      </c>
      <c r="K11" s="176">
        <f>VLOOKUP($B11,'Min Rent 2017'!$A$5:$P$19,12,FALSE)</f>
        <v>6650</v>
      </c>
      <c r="L11" s="176">
        <f>VLOOKUP($B11,'Min Rent 2017'!$A$5:$P$19,13,FALSE)</f>
        <v>6650</v>
      </c>
      <c r="M11" s="176">
        <f>VLOOKUP($B11,'Min Rent 2017'!$A$5:$P$19,14,FALSE)</f>
        <v>6650</v>
      </c>
      <c r="N11" s="176">
        <f>VLOOKUP($B11,'Min Rent 2017'!$A$5:$P$19,15,FALSE)</f>
        <v>6650</v>
      </c>
      <c r="O11" s="176">
        <f>VLOOKUP($B11,'Min Rent 2017'!$A$5:$P$19,16,FALSE)</f>
        <v>6650</v>
      </c>
      <c r="P11" s="176">
        <f t="shared" ref="P11:P25" si="1">SUM(D11:O11)</f>
        <v>79800</v>
      </c>
      <c r="Q11" s="176">
        <f t="shared" ref="Q11:Q74" si="2">IF(C11&lt;&gt;"",P11-C11,"")</f>
        <v>2856</v>
      </c>
      <c r="R11" s="246">
        <f t="shared" ref="R11:R74" si="3">IF(C11&lt;&gt;0,Q11/C11,"")</f>
        <v>3.7117903930131008E-2</v>
      </c>
    </row>
    <row r="12" spans="1:19" hidden="1" outlineLevel="1" x14ac:dyDescent="0.25">
      <c r="A12" s="1"/>
      <c r="B12" s="31" t="s">
        <v>408</v>
      </c>
      <c r="C12" s="176">
        <f>45817+201262</f>
        <v>247079</v>
      </c>
      <c r="D12" s="176">
        <f>VLOOKUP($B12,'Min Rent 2017'!$A$5:$P$19,5,FALSE)</f>
        <v>22580.639999999999</v>
      </c>
      <c r="E12" s="176">
        <f>VLOOKUP($B12,'Min Rent 2017'!$A$5:$P$19,6,FALSE)</f>
        <v>22580.639999999999</v>
      </c>
      <c r="F12" s="193">
        <f>VLOOKUP($B12,'Min Rent 2017'!$A$5:$P$19,7,FALSE)</f>
        <v>23258.06</v>
      </c>
      <c r="G12" s="176">
        <f>VLOOKUP($B12,'Min Rent 2017'!$A$5:$P$19,8,FALSE)</f>
        <v>23258.06</v>
      </c>
      <c r="H12" s="176">
        <f>VLOOKUP($B12,'Min Rent 2017'!$A$5:$P$19,9,FALSE)</f>
        <v>23258.06</v>
      </c>
      <c r="I12" s="176">
        <f>VLOOKUP($B12,'Min Rent 2017'!$A$5:$P$19,10,FALSE)</f>
        <v>23258.06</v>
      </c>
      <c r="J12" s="176">
        <f>VLOOKUP($B12,'Min Rent 2017'!$A$5:$P$19,11,FALSE)</f>
        <v>23258.06</v>
      </c>
      <c r="K12" s="176">
        <f>VLOOKUP($B12,'Min Rent 2017'!$A$5:$P$19,12,FALSE)</f>
        <v>23258.06</v>
      </c>
      <c r="L12" s="176">
        <f>VLOOKUP($B12,'Min Rent 2017'!$A$5:$P$19,13,FALSE)</f>
        <v>23258.06</v>
      </c>
      <c r="M12" s="176">
        <f>VLOOKUP($B12,'Min Rent 2017'!$A$5:$P$19,14,FALSE)</f>
        <v>23258.06</v>
      </c>
      <c r="N12" s="176">
        <f>VLOOKUP($B12,'Min Rent 2017'!$A$5:$P$19,15,FALSE)</f>
        <v>23258.06</v>
      </c>
      <c r="O12" s="176">
        <f>VLOOKUP($B12,'Min Rent 2017'!$A$5:$P$19,16,FALSE)</f>
        <v>23258.06</v>
      </c>
      <c r="P12" s="176">
        <f t="shared" si="1"/>
        <v>277741.88</v>
      </c>
      <c r="Q12" s="176">
        <f t="shared" si="2"/>
        <v>30662.880000000005</v>
      </c>
      <c r="R12" s="246">
        <f t="shared" si="3"/>
        <v>0.12410152218521203</v>
      </c>
    </row>
    <row r="13" spans="1:19" hidden="1" outlineLevel="1" x14ac:dyDescent="0.25">
      <c r="A13" s="1"/>
      <c r="B13" s="31" t="s">
        <v>409</v>
      </c>
      <c r="C13" s="176">
        <v>26004</v>
      </c>
      <c r="D13" s="176">
        <f>VLOOKUP($B13,'Min Rent 2017'!$A$5:$P$19,5,FALSE)</f>
        <v>2220.94</v>
      </c>
      <c r="E13" s="176">
        <f>VLOOKUP($B13,'Min Rent 2017'!$A$5:$P$19,6,FALSE)</f>
        <v>2220.94</v>
      </c>
      <c r="F13" s="176">
        <f>VLOOKUP($B13,'Min Rent 2017'!$A$5:$P$19,7,FALSE)</f>
        <v>2220.94</v>
      </c>
      <c r="G13" s="176">
        <f>VLOOKUP($B13,'Min Rent 2017'!$A$5:$P$19,8,FALSE)</f>
        <v>2220.94</v>
      </c>
      <c r="H13" s="176">
        <f>VLOOKUP($B13,'Min Rent 2017'!$A$5:$P$19,9,FALSE)</f>
        <v>2220.94</v>
      </c>
      <c r="I13" s="176">
        <f>VLOOKUP($B13,'Min Rent 2017'!$A$5:$P$19,10,FALSE)</f>
        <v>2220.94</v>
      </c>
      <c r="J13" s="176">
        <f>VLOOKUP($B13,'Min Rent 2017'!$A$5:$P$19,11,FALSE)</f>
        <v>2220.94</v>
      </c>
      <c r="K13" s="176">
        <f>VLOOKUP($B13,'Min Rent 2017'!$A$5:$P$19,12,FALSE)</f>
        <v>2220.94</v>
      </c>
      <c r="L13" s="176">
        <f>VLOOKUP($B13,'Min Rent 2017'!$A$5:$P$19,13,FALSE)</f>
        <v>2220.94</v>
      </c>
      <c r="M13" s="176">
        <f>VLOOKUP($B13,'Min Rent 2017'!$A$5:$P$19,14,FALSE)</f>
        <v>2220.94</v>
      </c>
      <c r="N13" s="193">
        <f>VLOOKUP($B13,'Min Rent 2017'!$A$5:$P$19,15,FALSE)</f>
        <v>2287.5700000000002</v>
      </c>
      <c r="O13" s="176">
        <f>VLOOKUP($B13,'Min Rent 2017'!$A$5:$P$19,16,FALSE)</f>
        <v>2287.5700000000002</v>
      </c>
      <c r="P13" s="176">
        <f t="shared" si="1"/>
        <v>26784.539999999997</v>
      </c>
      <c r="Q13" s="176">
        <f t="shared" si="2"/>
        <v>780.53999999999724</v>
      </c>
      <c r="R13" s="246">
        <f t="shared" si="3"/>
        <v>3.001615136132892E-2</v>
      </c>
    </row>
    <row r="14" spans="1:19" hidden="1" outlineLevel="1" x14ac:dyDescent="0.25">
      <c r="A14" s="1"/>
      <c r="B14" s="31" t="s">
        <v>410</v>
      </c>
      <c r="C14" s="176">
        <v>22712</v>
      </c>
      <c r="D14" s="176">
        <f>VLOOKUP($B14,'Min Rent 2017'!$A$5:$P$19,5,FALSE)</f>
        <v>1955.34</v>
      </c>
      <c r="E14" s="176">
        <f>VLOOKUP($B14,'Min Rent 2017'!$A$5:$P$19,6,FALSE)</f>
        <v>1955.34</v>
      </c>
      <c r="F14" s="176">
        <f>VLOOKUP($B14,'Min Rent 2017'!$A$5:$P$19,7,FALSE)</f>
        <v>1955.34</v>
      </c>
      <c r="G14" s="176">
        <f>VLOOKUP($B14,'Min Rent 2017'!$A$5:$P$19,8,FALSE)</f>
        <v>1955.34</v>
      </c>
      <c r="H14" s="176">
        <f>VLOOKUP($B14,'Min Rent 2017'!$A$5:$P$19,9,FALSE)</f>
        <v>1955.34</v>
      </c>
      <c r="I14" s="176">
        <f>VLOOKUP($B14,'Min Rent 2017'!$A$5:$P$19,10,FALSE)</f>
        <v>1955.34</v>
      </c>
      <c r="J14" s="176">
        <f>VLOOKUP($B14,'Min Rent 2017'!$A$5:$P$19,11,FALSE)</f>
        <v>1955.34</v>
      </c>
      <c r="K14" s="176">
        <f>VLOOKUP($B14,'Min Rent 2017'!$A$5:$P$19,12,FALSE)</f>
        <v>1955.34</v>
      </c>
      <c r="L14" s="176">
        <f>VLOOKUP($B14,'Min Rent 2017'!$A$5:$P$19,13,FALSE)</f>
        <v>1955.34</v>
      </c>
      <c r="M14" s="176">
        <f>VLOOKUP($B14,'Min Rent 2017'!$A$5:$P$19,14,FALSE)</f>
        <v>1955.34</v>
      </c>
      <c r="N14" s="176">
        <f>VLOOKUP($B14,'Min Rent 2017'!$A$5:$P$19,15,FALSE)</f>
        <v>2033.55</v>
      </c>
      <c r="O14" s="176">
        <f>VLOOKUP($B14,'Min Rent 2017'!$A$5:$P$19,16,FALSE)</f>
        <v>2033.55</v>
      </c>
      <c r="P14" s="176">
        <f t="shared" si="1"/>
        <v>23620.499999999996</v>
      </c>
      <c r="Q14" s="176">
        <f t="shared" si="2"/>
        <v>908.49999999999636</v>
      </c>
      <c r="R14" s="246">
        <f t="shared" si="3"/>
        <v>4.00008805917575E-2</v>
      </c>
    </row>
    <row r="15" spans="1:19" hidden="1" outlineLevel="1" x14ac:dyDescent="0.25">
      <c r="A15" s="1"/>
      <c r="B15" s="31" t="s">
        <v>395</v>
      </c>
      <c r="C15" s="176">
        <v>29316</v>
      </c>
      <c r="D15" s="176">
        <f>VLOOKUP($B15,'Min Rent 2017'!$A$5:$P$19,5,FALSE)</f>
        <v>2466.94</v>
      </c>
      <c r="E15" s="176">
        <f>VLOOKUP($B15,'Min Rent 2017'!$A$5:$P$19,6,FALSE)</f>
        <v>2466.94</v>
      </c>
      <c r="F15" s="176">
        <f>VLOOKUP($B15,'Min Rent 2017'!$A$5:$P$19,7,FALSE)</f>
        <v>2466.94</v>
      </c>
      <c r="G15" s="193">
        <f>VLOOKUP($B15,'Min Rent 2017'!$A$5:$P$19,8,FALSE)</f>
        <v>2540.94</v>
      </c>
      <c r="H15" s="176">
        <f>VLOOKUP($B15,'Min Rent 2017'!$A$5:$P$19,9,FALSE)</f>
        <v>2540.94</v>
      </c>
      <c r="I15" s="176">
        <f>VLOOKUP($B15,'Min Rent 2017'!$A$5:$P$19,10,FALSE)</f>
        <v>2540.94</v>
      </c>
      <c r="J15" s="176">
        <f>VLOOKUP($B15,'Min Rent 2017'!$A$5:$P$19,11,FALSE)</f>
        <v>2540.94</v>
      </c>
      <c r="K15" s="176">
        <f>VLOOKUP($B15,'Min Rent 2017'!$A$5:$P$19,12,FALSE)</f>
        <v>2540.94</v>
      </c>
      <c r="L15" s="176">
        <f>VLOOKUP($B15,'Min Rent 2017'!$A$5:$P$19,13,FALSE)</f>
        <v>2540.94</v>
      </c>
      <c r="M15" s="176">
        <f>VLOOKUP($B15,'Min Rent 2017'!$A$5:$P$19,14,FALSE)</f>
        <v>2540.94</v>
      </c>
      <c r="N15" s="176">
        <f>VLOOKUP($B15,'Min Rent 2017'!$A$5:$P$19,15,FALSE)</f>
        <v>2540.94</v>
      </c>
      <c r="O15" s="176">
        <f>VLOOKUP($B15,'Min Rent 2017'!$A$5:$P$19,16,FALSE)</f>
        <v>2540.94</v>
      </c>
      <c r="P15" s="176">
        <f t="shared" si="1"/>
        <v>30269.279999999995</v>
      </c>
      <c r="Q15" s="176">
        <f t="shared" si="2"/>
        <v>953.2799999999952</v>
      </c>
      <c r="R15" s="246">
        <f t="shared" si="3"/>
        <v>3.2517396643470975E-2</v>
      </c>
    </row>
    <row r="16" spans="1:19" hidden="1" outlineLevel="1" x14ac:dyDescent="0.25">
      <c r="A16" s="7"/>
      <c r="B16" s="31" t="s">
        <v>396</v>
      </c>
      <c r="C16" s="176">
        <v>372000</v>
      </c>
      <c r="D16" s="176">
        <f>VLOOKUP($B16,'Min Rent 2017'!$A$5:$P$19,5,FALSE)</f>
        <v>32000</v>
      </c>
      <c r="E16" s="176">
        <f>VLOOKUP($B16,'Min Rent 2017'!$A$5:$P$19,6,FALSE)</f>
        <v>32000</v>
      </c>
      <c r="F16" s="176">
        <f>VLOOKUP($B16,'Min Rent 2017'!$A$5:$P$19,7,FALSE)</f>
        <v>32000</v>
      </c>
      <c r="G16" s="176">
        <f>VLOOKUP($B16,'Min Rent 2017'!$A$5:$P$19,8,FALSE)</f>
        <v>32000</v>
      </c>
      <c r="H16" s="176">
        <f>VLOOKUP($B16,'Min Rent 2017'!$A$5:$P$19,9,FALSE)</f>
        <v>32000</v>
      </c>
      <c r="I16" s="176">
        <f>VLOOKUP($B16,'Min Rent 2017'!$A$5:$P$19,10,FALSE)</f>
        <v>32000</v>
      </c>
      <c r="J16" s="176">
        <f>VLOOKUP($B16,'Min Rent 2017'!$A$5:$P$19,11,FALSE)</f>
        <v>32000</v>
      </c>
      <c r="K16" s="176">
        <f>VLOOKUP($B16,'Min Rent 2017'!$A$5:$P$19,12,FALSE)</f>
        <v>32000</v>
      </c>
      <c r="L16" s="176">
        <f>VLOOKUP($B16,'Min Rent 2017'!$A$5:$P$19,13,FALSE)</f>
        <v>32000</v>
      </c>
      <c r="M16" s="176">
        <f>VLOOKUP($B16,'Min Rent 2017'!$A$5:$P$19,14,FALSE)</f>
        <v>32000</v>
      </c>
      <c r="N16" s="176">
        <f>VLOOKUP($B16,'Min Rent 2017'!$A$5:$P$19,15,FALSE)</f>
        <v>32000</v>
      </c>
      <c r="O16" s="193">
        <f>VLOOKUP($B16,'Min Rent 2017'!$A$5:$P$19,16,FALSE)</f>
        <v>36000</v>
      </c>
      <c r="P16" s="176">
        <f t="shared" si="1"/>
        <v>388000</v>
      </c>
      <c r="Q16" s="176">
        <f t="shared" si="2"/>
        <v>16000</v>
      </c>
      <c r="R16" s="246">
        <f t="shared" si="3"/>
        <v>4.3010752688172046E-2</v>
      </c>
    </row>
    <row r="17" spans="1:19" hidden="1" outlineLevel="1" x14ac:dyDescent="0.25">
      <c r="A17" s="7"/>
      <c r="B17" s="31" t="s">
        <v>401</v>
      </c>
      <c r="C17" s="176">
        <v>43992</v>
      </c>
      <c r="D17" s="176">
        <f>VLOOKUP($B17,'Min Rent 2017'!$A$5:$P$19,5,FALSE)</f>
        <v>3833.33</v>
      </c>
      <c r="E17" s="176">
        <f>VLOOKUP($B17,'Min Rent 2017'!$A$5:$P$19,6,FALSE)</f>
        <v>3833.33</v>
      </c>
      <c r="F17" s="176">
        <f>VLOOKUP($B17,'Min Rent 2017'!$A$5:$P$19,7,FALSE)</f>
        <v>3833.33</v>
      </c>
      <c r="G17" s="176">
        <f>VLOOKUP($B17,'Min Rent 2017'!$A$5:$P$19,8,FALSE)</f>
        <v>3833.33</v>
      </c>
      <c r="H17" s="176">
        <f>VLOOKUP($B17,'Min Rent 2017'!$A$5:$P$19,9,FALSE)</f>
        <v>3833.33</v>
      </c>
      <c r="I17" s="176">
        <f>VLOOKUP($B17,'Min Rent 2017'!$A$5:$P$19,10,FALSE)</f>
        <v>3833.33</v>
      </c>
      <c r="J17" s="176">
        <f>VLOOKUP($B17,'Min Rent 2017'!$A$5:$P$19,11,FALSE)</f>
        <v>3833.33</v>
      </c>
      <c r="K17" s="176">
        <f>VLOOKUP($B17,'Min Rent 2017'!$A$5:$P$19,12,FALSE)</f>
        <v>3833.33</v>
      </c>
      <c r="L17" s="176">
        <f>VLOOKUP($B17,'Min Rent 2017'!$A$5:$P$19,13,FALSE)</f>
        <v>3833.33</v>
      </c>
      <c r="M17" s="176">
        <f>VLOOKUP($B17,'Min Rent 2017'!$A$5:$P$19,14,FALSE)</f>
        <v>3833.33</v>
      </c>
      <c r="N17" s="176">
        <f>VLOOKUP($B17,'Min Rent 2017'!$A$5:$P$19,15,FALSE)</f>
        <v>3833.33</v>
      </c>
      <c r="O17" s="176">
        <f>VLOOKUP($B17,'Min Rent 2017'!$A$5:$P$19,16,FALSE)</f>
        <v>3833.33</v>
      </c>
      <c r="P17" s="176">
        <f t="shared" si="1"/>
        <v>45999.960000000014</v>
      </c>
      <c r="Q17" s="176">
        <f t="shared" si="2"/>
        <v>2007.9600000000137</v>
      </c>
      <c r="R17" s="246">
        <f t="shared" si="3"/>
        <v>4.564375340971117E-2</v>
      </c>
    </row>
    <row r="18" spans="1:19" hidden="1" outlineLevel="1" x14ac:dyDescent="0.25">
      <c r="A18" s="7"/>
      <c r="B18" s="31" t="s">
        <v>435</v>
      </c>
      <c r="C18" s="176">
        <v>39600</v>
      </c>
      <c r="D18" s="176">
        <f>VLOOKUP($B18,'Min Rent 2017'!$A$5:$P$19,5,FALSE)</f>
        <v>3399</v>
      </c>
      <c r="E18" s="176">
        <f>VLOOKUP($B18,'Min Rent 2017'!$A$5:$P$19,6,FALSE)</f>
        <v>3399</v>
      </c>
      <c r="F18" s="176">
        <f>VLOOKUP($B18,'Min Rent 2017'!$A$5:$P$19,7,FALSE)</f>
        <v>3399</v>
      </c>
      <c r="G18" s="176">
        <f>VLOOKUP($B18,'Min Rent 2017'!$A$5:$P$19,8,FALSE)</f>
        <v>3399</v>
      </c>
      <c r="H18" s="176">
        <f>VLOOKUP($B18,'Min Rent 2017'!$A$5:$P$19,9,FALSE)</f>
        <v>3399</v>
      </c>
      <c r="I18" s="176">
        <f>VLOOKUP($B18,'Min Rent 2017'!$A$5:$P$19,10,FALSE)</f>
        <v>3399</v>
      </c>
      <c r="J18" s="176">
        <f>VLOOKUP($B18,'Min Rent 2017'!$A$5:$P$19,11,FALSE)</f>
        <v>3399</v>
      </c>
      <c r="K18" s="176">
        <f>VLOOKUP($B18,'Min Rent 2017'!$A$5:$P$19,12,FALSE)</f>
        <v>3399</v>
      </c>
      <c r="L18" s="176">
        <f>VLOOKUP($B18,'Min Rent 2017'!$A$5:$P$19,13,FALSE)</f>
        <v>3399</v>
      </c>
      <c r="M18" s="176">
        <f>VLOOKUP($B18,'Min Rent 2017'!$A$5:$P$19,14,FALSE)</f>
        <v>3399</v>
      </c>
      <c r="N18" s="176">
        <f>VLOOKUP($B18,'Min Rent 2017'!$A$5:$P$19,15,FALSE)</f>
        <v>3399</v>
      </c>
      <c r="O18" s="176">
        <f>VLOOKUP($B18,'Min Rent 2017'!$A$5:$P$19,16,FALSE)</f>
        <v>3399</v>
      </c>
      <c r="P18" s="176">
        <f t="shared" si="1"/>
        <v>40788</v>
      </c>
      <c r="Q18" s="176">
        <f t="shared" si="2"/>
        <v>1188</v>
      </c>
      <c r="R18" s="246">
        <f t="shared" si="3"/>
        <v>0.03</v>
      </c>
    </row>
    <row r="19" spans="1:19" hidden="1" outlineLevel="1" x14ac:dyDescent="0.25">
      <c r="A19" s="7"/>
      <c r="B19" s="31" t="s">
        <v>413</v>
      </c>
      <c r="C19" s="176">
        <v>27000</v>
      </c>
      <c r="D19" s="176">
        <f>VLOOKUP($B19,'Min Rent 2017'!$A$5:$P$19,5,FALSE)</f>
        <v>2333.33</v>
      </c>
      <c r="E19" s="176">
        <f>VLOOKUP($B19,'Min Rent 2017'!$A$5:$P$19,6,FALSE)</f>
        <v>2333.33</v>
      </c>
      <c r="F19" s="176">
        <f>VLOOKUP($B19,'Min Rent 2017'!$A$5:$P$19,7,FALSE)</f>
        <v>2333.33</v>
      </c>
      <c r="G19" s="176">
        <f>VLOOKUP($B19,'Min Rent 2017'!$A$5:$P$19,8,FALSE)</f>
        <v>2833.33</v>
      </c>
      <c r="H19" s="176">
        <f>VLOOKUP($B19,'Min Rent 2017'!$A$5:$P$19,9,FALSE)</f>
        <v>2833.33</v>
      </c>
      <c r="I19" s="176">
        <f>VLOOKUP($B19,'Min Rent 2017'!$A$5:$P$19,10,FALSE)</f>
        <v>2833.33</v>
      </c>
      <c r="J19" s="176">
        <f>VLOOKUP($B19,'Min Rent 2017'!$A$5:$P$19,11,FALSE)</f>
        <v>2833.33</v>
      </c>
      <c r="K19" s="176">
        <f>VLOOKUP($B19,'Min Rent 2017'!$A$5:$P$19,12,FALSE)</f>
        <v>2833.33</v>
      </c>
      <c r="L19" s="176">
        <f>VLOOKUP($B19,'Min Rent 2017'!$A$5:$P$19,13,FALSE)</f>
        <v>2833.33</v>
      </c>
      <c r="M19" s="176">
        <f>VLOOKUP($B19,'Min Rent 2017'!$A$5:$P$19,14,FALSE)</f>
        <v>2833.33</v>
      </c>
      <c r="N19" s="176">
        <f>VLOOKUP($B19,'Min Rent 2017'!$A$5:$P$19,15,FALSE)</f>
        <v>2833.33</v>
      </c>
      <c r="O19" s="176">
        <f>VLOOKUP($B19,'Min Rent 2017'!$A$5:$P$19,16,FALSE)</f>
        <v>2833.33</v>
      </c>
      <c r="P19" s="176">
        <f t="shared" si="1"/>
        <v>32499.960000000006</v>
      </c>
      <c r="Q19" s="176">
        <f t="shared" si="2"/>
        <v>5499.9600000000064</v>
      </c>
      <c r="R19" s="246">
        <f t="shared" si="3"/>
        <v>0.20370222222222245</v>
      </c>
    </row>
    <row r="20" spans="1:19" hidden="1" outlineLevel="1" x14ac:dyDescent="0.25">
      <c r="A20" s="7"/>
      <c r="B20" s="31" t="s">
        <v>397</v>
      </c>
      <c r="C20" s="176">
        <v>32004</v>
      </c>
      <c r="D20" s="176">
        <f>VLOOKUP($B20,'Min Rent 2017'!$A$5:$P$19,5,FALSE)</f>
        <v>2667</v>
      </c>
      <c r="E20" s="176">
        <f>VLOOKUP($B20,'Min Rent 2017'!$A$5:$P$19,6,FALSE)</f>
        <v>2667</v>
      </c>
      <c r="F20" s="176">
        <f>VLOOKUP($B20,'Min Rent 2017'!$A$5:$P$19,7,FALSE)</f>
        <v>2667</v>
      </c>
      <c r="G20" s="176">
        <f>VLOOKUP($B20,'Min Rent 2017'!$A$5:$P$19,8,FALSE)</f>
        <v>2667</v>
      </c>
      <c r="H20" s="176">
        <f>VLOOKUP($B20,'Min Rent 2017'!$A$5:$P$19,9,FALSE)</f>
        <v>2667</v>
      </c>
      <c r="I20" s="176">
        <f>VLOOKUP($B20,'Min Rent 2017'!$A$5:$P$19,10,FALSE)</f>
        <v>2667</v>
      </c>
      <c r="J20" s="176">
        <f>VLOOKUP($B20,'Min Rent 2017'!$A$5:$P$19,11,FALSE)</f>
        <v>2667</v>
      </c>
      <c r="K20" s="176">
        <f>VLOOKUP($B20,'Min Rent 2017'!$A$5:$P$19,12,FALSE)</f>
        <v>2667</v>
      </c>
      <c r="L20" s="176">
        <f>VLOOKUP($B20,'Min Rent 2017'!$A$5:$P$19,13,FALSE)</f>
        <v>2667</v>
      </c>
      <c r="M20" s="176">
        <f>VLOOKUP($B20,'Min Rent 2017'!$A$5:$P$19,14,FALSE)</f>
        <v>2667</v>
      </c>
      <c r="N20" s="176">
        <f>VLOOKUP($B20,'Min Rent 2017'!$A$5:$P$19,15,FALSE)</f>
        <v>2667</v>
      </c>
      <c r="O20" s="176">
        <f>VLOOKUP($B20,'Min Rent 2017'!$A$5:$P$19,16,FALSE)</f>
        <v>2667</v>
      </c>
      <c r="P20" s="176">
        <f t="shared" si="1"/>
        <v>32004</v>
      </c>
      <c r="Q20" s="176">
        <f t="shared" si="2"/>
        <v>0</v>
      </c>
      <c r="R20" s="246">
        <f t="shared" si="3"/>
        <v>0</v>
      </c>
    </row>
    <row r="21" spans="1:19" hidden="1" outlineLevel="1" x14ac:dyDescent="0.25">
      <c r="A21" s="7"/>
      <c r="B21" s="31" t="s">
        <v>415</v>
      </c>
      <c r="C21" s="176">
        <f>VLOOKUP($B21,'Min Rent 2017'!$A$5:$P$19,5,FALSE)</f>
        <v>0</v>
      </c>
      <c r="D21" s="176">
        <f>VLOOKUP($B21,'Min Rent 2017'!$A$5:$P$19,5,FALSE)</f>
        <v>0</v>
      </c>
      <c r="E21" s="176">
        <f>VLOOKUP($B21,'Min Rent 2017'!$A$5:$P$19,6,FALSE)</f>
        <v>0</v>
      </c>
      <c r="F21" s="176">
        <f>VLOOKUP($B21,'Min Rent 2017'!$A$5:$P$19,7,FALSE)</f>
        <v>0</v>
      </c>
      <c r="G21" s="176">
        <f>VLOOKUP($B21,'Min Rent 2017'!$A$5:$P$19,8,FALSE)</f>
        <v>0</v>
      </c>
      <c r="H21" s="176">
        <f>VLOOKUP($B21,'Min Rent 2017'!$A$5:$P$19,9,FALSE)</f>
        <v>0</v>
      </c>
      <c r="I21" s="176">
        <f>VLOOKUP($B21,'Min Rent 2017'!$A$5:$P$19,10,FALSE)</f>
        <v>0</v>
      </c>
      <c r="J21" s="176">
        <f>VLOOKUP($B21,'Min Rent 2017'!$A$5:$P$19,11,FALSE)</f>
        <v>0</v>
      </c>
      <c r="K21" s="176">
        <f>VLOOKUP($B21,'Min Rent 2017'!$A$5:$P$19,12,FALSE)</f>
        <v>0</v>
      </c>
      <c r="L21" s="176">
        <f>VLOOKUP($B21,'Min Rent 2017'!$A$5:$P$19,13,FALSE)</f>
        <v>0</v>
      </c>
      <c r="M21" s="176">
        <f>VLOOKUP($B21,'Min Rent 2017'!$A$5:$P$19,14,FALSE)</f>
        <v>0</v>
      </c>
      <c r="N21" s="176">
        <f>VLOOKUP($B21,'Min Rent 2017'!$A$5:$P$19,15,FALSE)</f>
        <v>0</v>
      </c>
      <c r="O21" s="176">
        <f>VLOOKUP($B21,'Min Rent 2017'!$A$5:$P$19,16,FALSE)</f>
        <v>0</v>
      </c>
      <c r="P21" s="176">
        <f t="shared" si="1"/>
        <v>0</v>
      </c>
      <c r="Q21" s="176">
        <f t="shared" si="2"/>
        <v>0</v>
      </c>
      <c r="R21" s="246" t="str">
        <f t="shared" si="3"/>
        <v/>
      </c>
    </row>
    <row r="22" spans="1:19" hidden="1" outlineLevel="1" x14ac:dyDescent="0.25">
      <c r="A22" s="7"/>
      <c r="B22" s="31" t="s">
        <v>416</v>
      </c>
      <c r="C22" s="176">
        <v>74316</v>
      </c>
      <c r="D22" s="176">
        <f>VLOOKUP($B22,'Min Rent 2017'!$A$5:$P$19,5,FALSE)</f>
        <v>7800</v>
      </c>
      <c r="E22" s="176">
        <f>VLOOKUP($B22,'Min Rent 2017'!$A$5:$P$19,6,FALSE)</f>
        <v>7800</v>
      </c>
      <c r="F22" s="176">
        <f>VLOOKUP($B22,'Min Rent 2017'!$A$5:$P$19,7,FALSE)</f>
        <v>7800</v>
      </c>
      <c r="G22" s="176">
        <f>VLOOKUP($B22,'Min Rent 2017'!$A$5:$P$19,8,FALSE)</f>
        <v>7800</v>
      </c>
      <c r="H22" s="176">
        <f>VLOOKUP($B22,'Min Rent 2017'!$A$5:$P$19,9,FALSE)</f>
        <v>7800</v>
      </c>
      <c r="I22" s="176">
        <f>VLOOKUP($B22,'Min Rent 2017'!$A$5:$P$19,10,FALSE)</f>
        <v>7800</v>
      </c>
      <c r="J22" s="176">
        <f>VLOOKUP($B22,'Min Rent 2017'!$A$5:$P$19,11,FALSE)</f>
        <v>7800</v>
      </c>
      <c r="K22" s="176">
        <f>VLOOKUP($B22,'Min Rent 2017'!$A$5:$P$19,12,FALSE)</f>
        <v>7800</v>
      </c>
      <c r="L22" s="176">
        <f>VLOOKUP($B22,'Min Rent 2017'!$A$5:$P$19,13,FALSE)</f>
        <v>7800</v>
      </c>
      <c r="M22" s="176">
        <f>VLOOKUP($B22,'Min Rent 2017'!$A$5:$P$19,14,FALSE)</f>
        <v>7800</v>
      </c>
      <c r="N22" s="176">
        <f>VLOOKUP($B22,'Min Rent 2017'!$A$5:$P$19,15,FALSE)</f>
        <v>7800</v>
      </c>
      <c r="O22" s="176">
        <f>VLOOKUP($B22,'Min Rent 2017'!$A$5:$P$19,16,FALSE)</f>
        <v>7800</v>
      </c>
      <c r="P22" s="176">
        <f t="shared" si="1"/>
        <v>93600</v>
      </c>
      <c r="Q22" s="176">
        <f t="shared" si="2"/>
        <v>19284</v>
      </c>
      <c r="R22" s="246">
        <f t="shared" si="3"/>
        <v>0.25948651703536252</v>
      </c>
    </row>
    <row r="23" spans="1:19" hidden="1" outlineLevel="1" x14ac:dyDescent="0.25">
      <c r="A23" s="7"/>
      <c r="B23" s="31" t="s">
        <v>417</v>
      </c>
      <c r="C23" s="176">
        <v>83604</v>
      </c>
      <c r="D23" s="176">
        <f>VLOOKUP($B23,'Min Rent 2017'!$A$5:$P$19,5,FALSE)</f>
        <v>6966.67</v>
      </c>
      <c r="E23" s="176">
        <f>VLOOKUP($B23,'Min Rent 2017'!$A$5:$P$19,6,FALSE)</f>
        <v>6966.67</v>
      </c>
      <c r="F23" s="176">
        <f>VLOOKUP($B23,'Min Rent 2017'!$A$5:$P$19,7,FALSE)</f>
        <v>6966.67</v>
      </c>
      <c r="G23" s="176">
        <f>VLOOKUP($B23,'Min Rent 2017'!$A$5:$P$19,8,FALSE)</f>
        <v>6966.67</v>
      </c>
      <c r="H23" s="176">
        <f>VLOOKUP($B23,'Min Rent 2017'!$A$5:$P$19,9,FALSE)</f>
        <v>6966.67</v>
      </c>
      <c r="I23" s="176">
        <f>VLOOKUP($B23,'Min Rent 2017'!$A$5:$P$19,10,FALSE)</f>
        <v>6966.67</v>
      </c>
      <c r="J23" s="176">
        <f>VLOOKUP($B23,'Min Rent 2017'!$A$5:$P$19,11,FALSE)</f>
        <v>6966.67</v>
      </c>
      <c r="K23" s="193">
        <f>VLOOKUP($B23,'Min Rent 2017'!$A$5:$P$19,12,FALSE)</f>
        <v>7663.33</v>
      </c>
      <c r="L23" s="176">
        <f>VLOOKUP($B23,'Min Rent 2017'!$A$5:$P$19,13,FALSE)</f>
        <v>7663.33</v>
      </c>
      <c r="M23" s="176">
        <f>VLOOKUP($B23,'Min Rent 2017'!$A$5:$P$19,14,FALSE)</f>
        <v>7663.33</v>
      </c>
      <c r="N23" s="176">
        <f>VLOOKUP($B23,'Min Rent 2017'!$A$5:$P$19,15,FALSE)</f>
        <v>7663.33</v>
      </c>
      <c r="O23" s="176">
        <f>VLOOKUP($B23,'Min Rent 2017'!$A$5:$P$19,16,FALSE)</f>
        <v>7663.33</v>
      </c>
      <c r="P23" s="176">
        <f t="shared" si="1"/>
        <v>87083.34</v>
      </c>
      <c r="Q23" s="176">
        <f t="shared" si="2"/>
        <v>3479.3399999999965</v>
      </c>
      <c r="R23" s="246">
        <f t="shared" si="3"/>
        <v>4.1616908281900344E-2</v>
      </c>
    </row>
    <row r="24" spans="1:19" hidden="1" outlineLevel="1" x14ac:dyDescent="0.25">
      <c r="A24" s="7"/>
      <c r="B24" s="31" t="s">
        <v>399</v>
      </c>
      <c r="C24" s="176">
        <v>191400</v>
      </c>
      <c r="D24" s="176">
        <f>VLOOKUP($B24,'Min Rent 2017'!$A$5:$P$19,5,FALSE)</f>
        <v>15225</v>
      </c>
      <c r="E24" s="176">
        <f>VLOOKUP($B24,'Min Rent 2017'!$A$5:$P$19,6,FALSE)</f>
        <v>15225</v>
      </c>
      <c r="F24" s="176">
        <f>VLOOKUP($B24,'Min Rent 2017'!$A$5:$P$19,7,FALSE)</f>
        <v>15225</v>
      </c>
      <c r="G24" s="176">
        <f>VLOOKUP($B24,'Min Rent 2017'!$A$5:$P$19,8,FALSE)</f>
        <v>15225</v>
      </c>
      <c r="H24" s="176">
        <f>VLOOKUP($B24,'Min Rent 2017'!$A$5:$P$19,9,FALSE)</f>
        <v>15225</v>
      </c>
      <c r="I24" s="193">
        <f>VLOOKUP($B24,'Min Rent 2017'!$A$5:$P$19,10,FALSE)</f>
        <v>15950</v>
      </c>
      <c r="J24" s="176">
        <f>VLOOKUP($B24,'Min Rent 2017'!$A$5:$P$19,11,FALSE)</f>
        <v>15950</v>
      </c>
      <c r="K24" s="176">
        <f>VLOOKUP($B24,'Min Rent 2017'!$A$5:$P$19,12,FALSE)</f>
        <v>15950</v>
      </c>
      <c r="L24" s="176">
        <f>VLOOKUP($B24,'Min Rent 2017'!$A$5:$P$19,13,FALSE)</f>
        <v>15950</v>
      </c>
      <c r="M24" s="176">
        <f>VLOOKUP($B24,'Min Rent 2017'!$A$5:$P$19,14,FALSE)</f>
        <v>15950</v>
      </c>
      <c r="N24" s="176">
        <f>VLOOKUP($B24,'Min Rent 2017'!$A$5:$P$19,15,FALSE)</f>
        <v>15950</v>
      </c>
      <c r="O24" s="176">
        <f>VLOOKUP($B24,'Min Rent 2017'!$A$5:$P$19,16,FALSE)</f>
        <v>15950</v>
      </c>
      <c r="P24" s="176">
        <f t="shared" si="1"/>
        <v>187775</v>
      </c>
      <c r="Q24" s="176">
        <f t="shared" si="2"/>
        <v>-3625</v>
      </c>
      <c r="R24" s="246">
        <f t="shared" si="3"/>
        <v>-1.893939393939394E-2</v>
      </c>
      <c r="S24" t="s">
        <v>540</v>
      </c>
    </row>
    <row r="25" spans="1:19" hidden="1" outlineLevel="1" x14ac:dyDescent="0.25">
      <c r="A25" s="7"/>
      <c r="B25" s="125" t="s">
        <v>398</v>
      </c>
      <c r="C25" s="176">
        <v>40021</v>
      </c>
      <c r="D25" s="176">
        <f>VLOOKUP($B25,'Min Rent 2017'!$A$5:$P$19,5,FALSE)</f>
        <v>3379.89</v>
      </c>
      <c r="E25" s="176">
        <f>VLOOKUP($B25,'Min Rent 2017'!$A$5:$P$19,6,FALSE)</f>
        <v>3379.89</v>
      </c>
      <c r="F25" s="176">
        <f>VLOOKUP($B25,'Min Rent 2017'!$A$5:$P$19,7,FALSE)</f>
        <v>3379.89</v>
      </c>
      <c r="G25" s="176">
        <f>VLOOKUP($B25,'Min Rent 2017'!$A$5:$P$19,8,FALSE)</f>
        <v>3379.89</v>
      </c>
      <c r="H25" s="176">
        <f>VLOOKUP($B25,'Min Rent 2017'!$A$5:$P$19,9,FALSE)</f>
        <v>3379.89</v>
      </c>
      <c r="I25" s="176">
        <f>VLOOKUP($B25,'Min Rent 2017'!$A$5:$P$19,10,FALSE)</f>
        <v>3379.89</v>
      </c>
      <c r="J25" s="176">
        <f>VLOOKUP($B25,'Min Rent 2017'!$A$5:$P$19,11,FALSE)</f>
        <v>3379.89</v>
      </c>
      <c r="K25" s="176">
        <f>VLOOKUP($B25,'Min Rent 2017'!$A$5:$P$19,12,FALSE)</f>
        <v>3379.89</v>
      </c>
      <c r="L25" s="176">
        <f>VLOOKUP($B25,'Min Rent 2017'!$A$5:$P$19,13,FALSE)</f>
        <v>3379.89</v>
      </c>
      <c r="M25" s="176">
        <f>VLOOKUP($B25,'Min Rent 2017'!$A$5:$P$19,14,FALSE)</f>
        <v>3379.89</v>
      </c>
      <c r="N25" s="176">
        <f>VLOOKUP($B25,'Min Rent 2017'!$A$5:$P$19,15,FALSE)</f>
        <v>3379.89</v>
      </c>
      <c r="O25" s="176">
        <f>VLOOKUP($B25,'Min Rent 2017'!$A$5:$P$19,16,FALSE)</f>
        <v>3379.89</v>
      </c>
      <c r="P25" s="176">
        <f t="shared" si="1"/>
        <v>40558.68</v>
      </c>
      <c r="Q25" s="176">
        <f t="shared" si="2"/>
        <v>537.68000000000029</v>
      </c>
      <c r="R25" s="246">
        <f t="shared" si="3"/>
        <v>1.3434946653007179E-2</v>
      </c>
    </row>
    <row r="26" spans="1:19" collapsed="1" x14ac:dyDescent="0.25">
      <c r="A26" s="1" t="s">
        <v>7</v>
      </c>
      <c r="B26" s="5" t="s">
        <v>8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>
        <v>0</v>
      </c>
      <c r="Q26" s="176" t="str">
        <f t="shared" si="2"/>
        <v/>
      </c>
      <c r="R26" s="246" t="str">
        <f t="shared" si="3"/>
        <v/>
      </c>
    </row>
    <row r="27" spans="1:19" ht="15.75" thickBot="1" x14ac:dyDescent="0.3">
      <c r="A27" s="1"/>
      <c r="B27" s="5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 t="str">
        <f t="shared" si="2"/>
        <v/>
      </c>
      <c r="R27" s="246" t="str">
        <f t="shared" si="3"/>
        <v/>
      </c>
    </row>
    <row r="28" spans="1:19" s="121" customFormat="1" x14ac:dyDescent="0.25">
      <c r="A28" s="6" t="s">
        <v>9</v>
      </c>
      <c r="B28" s="3" t="s">
        <v>10</v>
      </c>
      <c r="C28" s="178">
        <f t="shared" ref="C28:P28" si="4">SUM(C26:C27,C10)</f>
        <v>1305992</v>
      </c>
      <c r="D28" s="178">
        <f t="shared" si="4"/>
        <v>113478.08</v>
      </c>
      <c r="E28" s="178">
        <f t="shared" si="4"/>
        <v>113478.08</v>
      </c>
      <c r="F28" s="178">
        <f t="shared" si="4"/>
        <v>114155.5</v>
      </c>
      <c r="G28" s="178">
        <f t="shared" si="4"/>
        <v>114729.5</v>
      </c>
      <c r="H28" s="178">
        <f t="shared" si="4"/>
        <v>114729.5</v>
      </c>
      <c r="I28" s="178">
        <f t="shared" si="4"/>
        <v>115454.5</v>
      </c>
      <c r="J28" s="178">
        <f t="shared" si="4"/>
        <v>115454.5</v>
      </c>
      <c r="K28" s="178">
        <f t="shared" si="4"/>
        <v>116151.16</v>
      </c>
      <c r="L28" s="178">
        <f t="shared" si="4"/>
        <v>116151.16</v>
      </c>
      <c r="M28" s="178">
        <f t="shared" si="4"/>
        <v>116151.16</v>
      </c>
      <c r="N28" s="178">
        <f t="shared" si="4"/>
        <v>116296</v>
      </c>
      <c r="O28" s="178">
        <f t="shared" si="4"/>
        <v>120296</v>
      </c>
      <c r="P28" s="178">
        <f t="shared" si="4"/>
        <v>1386525.14</v>
      </c>
      <c r="Q28" s="178">
        <f t="shared" si="2"/>
        <v>80533.139999999898</v>
      </c>
      <c r="R28" s="246">
        <f t="shared" si="3"/>
        <v>6.1664344038860799E-2</v>
      </c>
    </row>
    <row r="29" spans="1:19" x14ac:dyDescent="0.25">
      <c r="A29" s="1"/>
      <c r="B29" s="5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 t="str">
        <f t="shared" si="2"/>
        <v/>
      </c>
      <c r="R29" s="246" t="str">
        <f t="shared" si="3"/>
        <v/>
      </c>
    </row>
    <row r="30" spans="1:19" x14ac:dyDescent="0.25">
      <c r="A30" s="1" t="s">
        <v>11</v>
      </c>
      <c r="B30" s="5" t="s">
        <v>12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 t="str">
        <f t="shared" si="2"/>
        <v/>
      </c>
      <c r="R30" s="246" t="str">
        <f t="shared" si="3"/>
        <v/>
      </c>
    </row>
    <row r="31" spans="1:19" x14ac:dyDescent="0.25">
      <c r="A31" s="1" t="s">
        <v>13</v>
      </c>
      <c r="B31" s="5" t="s">
        <v>14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>
        <v>0</v>
      </c>
      <c r="Q31" s="176" t="str">
        <f t="shared" si="2"/>
        <v/>
      </c>
      <c r="R31" s="246" t="str">
        <f t="shared" si="3"/>
        <v/>
      </c>
    </row>
    <row r="32" spans="1:19" x14ac:dyDescent="0.25">
      <c r="A32" s="1" t="s">
        <v>15</v>
      </c>
      <c r="B32" s="5" t="s">
        <v>16</v>
      </c>
      <c r="C32" s="182">
        <v>192652</v>
      </c>
      <c r="D32" s="182">
        <f t="shared" ref="D32:P32" si="5">ROUND(SUM(D33:D47),0)</f>
        <v>18879</v>
      </c>
      <c r="E32" s="182">
        <f t="shared" si="5"/>
        <v>18879</v>
      </c>
      <c r="F32" s="182">
        <f t="shared" si="5"/>
        <v>18879</v>
      </c>
      <c r="G32" s="182">
        <f t="shared" si="5"/>
        <v>18879</v>
      </c>
      <c r="H32" s="182">
        <f t="shared" si="5"/>
        <v>18879</v>
      </c>
      <c r="I32" s="182">
        <f t="shared" si="5"/>
        <v>18879</v>
      </c>
      <c r="J32" s="182">
        <f t="shared" si="5"/>
        <v>18879</v>
      </c>
      <c r="K32" s="182">
        <f t="shared" si="5"/>
        <v>18879</v>
      </c>
      <c r="L32" s="182">
        <f t="shared" si="5"/>
        <v>18879</v>
      </c>
      <c r="M32" s="182">
        <f t="shared" si="5"/>
        <v>18879</v>
      </c>
      <c r="N32" s="182">
        <f t="shared" si="5"/>
        <v>18879</v>
      </c>
      <c r="O32" s="182">
        <f t="shared" si="5"/>
        <v>18879</v>
      </c>
      <c r="P32" s="182">
        <f t="shared" si="5"/>
        <v>226549</v>
      </c>
      <c r="Q32" s="182">
        <f t="shared" si="2"/>
        <v>33897</v>
      </c>
      <c r="R32" s="246">
        <f t="shared" si="3"/>
        <v>0.17594938022963685</v>
      </c>
    </row>
    <row r="33" spans="1:18" hidden="1" outlineLevel="1" x14ac:dyDescent="0.25">
      <c r="A33" s="1"/>
      <c r="B33" s="31" t="s">
        <v>400</v>
      </c>
      <c r="C33" s="176">
        <v>6372</v>
      </c>
      <c r="D33" s="176">
        <f>VLOOKUP($B33,'CAM est 2017'!$A$6:$P$20,5,FALSE)</f>
        <v>680.2</v>
      </c>
      <c r="E33" s="176">
        <f>VLOOKUP($B$33,'CAM est 2017'!$A$6:$P$20,5,FALSE)</f>
        <v>680.2</v>
      </c>
      <c r="F33" s="176">
        <f>VLOOKUP($B$33,'CAM est 2017'!$A$6:$P$20,5,FALSE)</f>
        <v>680.2</v>
      </c>
      <c r="G33" s="176">
        <f>VLOOKUP($B$33,'CAM est 2017'!$A$6:$P$20,5,FALSE)</f>
        <v>680.2</v>
      </c>
      <c r="H33" s="176">
        <f>VLOOKUP($B$33,'CAM est 2017'!$A$6:$P$20,5,FALSE)</f>
        <v>680.2</v>
      </c>
      <c r="I33" s="176">
        <f>VLOOKUP($B$33,'CAM est 2017'!$A$6:$P$20,5,FALSE)</f>
        <v>680.2</v>
      </c>
      <c r="J33" s="176">
        <f>VLOOKUP($B$33,'CAM est 2017'!$A$6:$P$20,5,FALSE)</f>
        <v>680.2</v>
      </c>
      <c r="K33" s="176">
        <f>VLOOKUP($B$33,'CAM est 2017'!$A$6:$P$20,5,FALSE)</f>
        <v>680.2</v>
      </c>
      <c r="L33" s="176">
        <f>VLOOKUP($B$33,'CAM est 2017'!$A$6:$P$20,5,FALSE)</f>
        <v>680.2</v>
      </c>
      <c r="M33" s="176">
        <f>VLOOKUP($B$33,'CAM est 2017'!$A$6:$P$20,5,FALSE)</f>
        <v>680.2</v>
      </c>
      <c r="N33" s="176">
        <f>VLOOKUP($B$33,'CAM est 2017'!$A$6:$P$20,5,FALSE)</f>
        <v>680.2</v>
      </c>
      <c r="O33" s="176">
        <f>VLOOKUP($B$33,'CAM est 2017'!$A$6:$P$20,5,FALSE)</f>
        <v>680.2</v>
      </c>
      <c r="P33" s="176">
        <f t="shared" ref="P33:P47" si="6">SUM(D33:O33)</f>
        <v>8162.3999999999987</v>
      </c>
      <c r="Q33" s="176">
        <f t="shared" si="2"/>
        <v>1790.3999999999987</v>
      </c>
      <c r="R33" s="246">
        <f t="shared" si="3"/>
        <v>0.28097928436911468</v>
      </c>
    </row>
    <row r="34" spans="1:18" hidden="1" outlineLevel="1" x14ac:dyDescent="0.25">
      <c r="A34" s="1"/>
      <c r="B34" s="31" t="s">
        <v>408</v>
      </c>
      <c r="C34" s="176">
        <v>47936</v>
      </c>
      <c r="D34" s="176">
        <f>VLOOKUP($B34,'CAM est 2017'!$A$6:$P$20,5,FALSE)</f>
        <v>4087.22</v>
      </c>
      <c r="E34" s="176">
        <f>VLOOKUP($B34,'CAM est 2017'!$A$6:$P$20,5,FALSE)</f>
        <v>4087.22</v>
      </c>
      <c r="F34" s="176">
        <f>VLOOKUP($B34,'CAM est 2017'!$A$6:$P$20,5,FALSE)</f>
        <v>4087.22</v>
      </c>
      <c r="G34" s="176">
        <f>VLOOKUP($B34,'CAM est 2017'!$A$6:$P$20,5,FALSE)</f>
        <v>4087.22</v>
      </c>
      <c r="H34" s="176">
        <f>VLOOKUP($B34,'CAM est 2017'!$A$6:$P$20,5,FALSE)</f>
        <v>4087.22</v>
      </c>
      <c r="I34" s="176">
        <f>VLOOKUP($B34,'CAM est 2017'!$A$6:$P$20,5,FALSE)</f>
        <v>4087.22</v>
      </c>
      <c r="J34" s="176">
        <f>VLOOKUP($B34,'CAM est 2017'!$A$6:$P$20,5,FALSE)</f>
        <v>4087.22</v>
      </c>
      <c r="K34" s="176">
        <f>VLOOKUP($B34,'CAM est 2017'!$A$6:$P$20,5,FALSE)</f>
        <v>4087.22</v>
      </c>
      <c r="L34" s="176">
        <f>VLOOKUP($B34,'CAM est 2017'!$A$6:$P$20,5,FALSE)</f>
        <v>4087.22</v>
      </c>
      <c r="M34" s="176">
        <f>VLOOKUP($B34,'CAM est 2017'!$A$6:$P$20,5,FALSE)</f>
        <v>4087.22</v>
      </c>
      <c r="N34" s="176">
        <f>VLOOKUP($B34,'CAM est 2017'!$A$6:$P$20,5,FALSE)</f>
        <v>4087.22</v>
      </c>
      <c r="O34" s="176">
        <f>VLOOKUP($B34,'CAM est 2017'!$A$6:$P$20,5,FALSE)</f>
        <v>4087.22</v>
      </c>
      <c r="P34" s="176">
        <f t="shared" si="6"/>
        <v>49046.640000000007</v>
      </c>
      <c r="Q34" s="176">
        <f t="shared" si="2"/>
        <v>1110.6400000000067</v>
      </c>
      <c r="R34" s="246">
        <f t="shared" si="3"/>
        <v>2.3169225634179044E-2</v>
      </c>
    </row>
    <row r="35" spans="1:18" hidden="1" outlineLevel="1" x14ac:dyDescent="0.25">
      <c r="A35" s="1"/>
      <c r="B35" s="31" t="s">
        <v>409</v>
      </c>
      <c r="C35" s="176">
        <v>4092</v>
      </c>
      <c r="D35" s="176">
        <f>VLOOKUP($B35,'CAM est 2017'!$A$6:$P$20,5,FALSE)</f>
        <v>389.46</v>
      </c>
      <c r="E35" s="176">
        <f>VLOOKUP($B35,'CAM est 2017'!$A$6:$P$20,5,FALSE)</f>
        <v>389.46</v>
      </c>
      <c r="F35" s="176">
        <f>VLOOKUP($B35,'CAM est 2017'!$A$6:$P$20,5,FALSE)</f>
        <v>389.46</v>
      </c>
      <c r="G35" s="176">
        <f>VLOOKUP($B35,'CAM est 2017'!$A$6:$P$20,5,FALSE)</f>
        <v>389.46</v>
      </c>
      <c r="H35" s="176">
        <f>VLOOKUP($B35,'CAM est 2017'!$A$6:$P$20,5,FALSE)</f>
        <v>389.46</v>
      </c>
      <c r="I35" s="176">
        <f>VLOOKUP($B35,'CAM est 2017'!$A$6:$P$20,5,FALSE)</f>
        <v>389.46</v>
      </c>
      <c r="J35" s="176">
        <f>VLOOKUP($B35,'CAM est 2017'!$A$6:$P$20,5,FALSE)</f>
        <v>389.46</v>
      </c>
      <c r="K35" s="176">
        <f>VLOOKUP($B35,'CAM est 2017'!$A$6:$P$20,5,FALSE)</f>
        <v>389.46</v>
      </c>
      <c r="L35" s="176">
        <f>VLOOKUP($B35,'CAM est 2017'!$A$6:$P$20,5,FALSE)</f>
        <v>389.46</v>
      </c>
      <c r="M35" s="176">
        <f>VLOOKUP($B35,'CAM est 2017'!$A$6:$P$20,5,FALSE)</f>
        <v>389.46</v>
      </c>
      <c r="N35" s="176">
        <f>VLOOKUP($B35,'CAM est 2017'!$A$6:$P$20,5,FALSE)</f>
        <v>389.46</v>
      </c>
      <c r="O35" s="176">
        <f>VLOOKUP($B35,'CAM est 2017'!$A$6:$P$20,5,FALSE)</f>
        <v>389.46</v>
      </c>
      <c r="P35" s="176">
        <f t="shared" si="6"/>
        <v>4673.5199999999995</v>
      </c>
      <c r="Q35" s="176">
        <f t="shared" si="2"/>
        <v>581.51999999999953</v>
      </c>
      <c r="R35" s="246">
        <f t="shared" si="3"/>
        <v>0.14211143695014652</v>
      </c>
    </row>
    <row r="36" spans="1:18" hidden="1" outlineLevel="1" x14ac:dyDescent="0.25">
      <c r="A36" s="1"/>
      <c r="B36" s="31" t="s">
        <v>410</v>
      </c>
      <c r="C36" s="176">
        <v>3216</v>
      </c>
      <c r="D36" s="176">
        <f>VLOOKUP($B36,'CAM est 2017'!$A$6:$P$20,5,FALSE)</f>
        <v>306.54000000000002</v>
      </c>
      <c r="E36" s="176">
        <f>VLOOKUP($B36,'CAM est 2017'!$A$6:$P$20,5,FALSE)</f>
        <v>306.54000000000002</v>
      </c>
      <c r="F36" s="176">
        <f>VLOOKUP($B36,'CAM est 2017'!$A$6:$P$20,5,FALSE)</f>
        <v>306.54000000000002</v>
      </c>
      <c r="G36" s="176">
        <f>VLOOKUP($B36,'CAM est 2017'!$A$6:$P$20,5,FALSE)</f>
        <v>306.54000000000002</v>
      </c>
      <c r="H36" s="176">
        <f>VLOOKUP($B36,'CAM est 2017'!$A$6:$P$20,5,FALSE)</f>
        <v>306.54000000000002</v>
      </c>
      <c r="I36" s="176">
        <f>VLOOKUP($B36,'CAM est 2017'!$A$6:$P$20,5,FALSE)</f>
        <v>306.54000000000002</v>
      </c>
      <c r="J36" s="176">
        <f>VLOOKUP($B36,'CAM est 2017'!$A$6:$P$20,5,FALSE)</f>
        <v>306.54000000000002</v>
      </c>
      <c r="K36" s="176">
        <f>VLOOKUP($B36,'CAM est 2017'!$A$6:$P$20,5,FALSE)</f>
        <v>306.54000000000002</v>
      </c>
      <c r="L36" s="176">
        <f>VLOOKUP($B36,'CAM est 2017'!$A$6:$P$20,5,FALSE)</f>
        <v>306.54000000000002</v>
      </c>
      <c r="M36" s="176">
        <f>VLOOKUP($B36,'CAM est 2017'!$A$6:$P$20,5,FALSE)</f>
        <v>306.54000000000002</v>
      </c>
      <c r="N36" s="176">
        <f>VLOOKUP($B36,'CAM est 2017'!$A$6:$P$20,5,FALSE)</f>
        <v>306.54000000000002</v>
      </c>
      <c r="O36" s="176">
        <f>VLOOKUP($B36,'CAM est 2017'!$A$6:$P$20,5,FALSE)</f>
        <v>306.54000000000002</v>
      </c>
      <c r="P36" s="176">
        <f t="shared" si="6"/>
        <v>3678.48</v>
      </c>
      <c r="Q36" s="176">
        <f t="shared" si="2"/>
        <v>462.48</v>
      </c>
      <c r="R36" s="246">
        <f t="shared" si="3"/>
        <v>0.14380597014925373</v>
      </c>
    </row>
    <row r="37" spans="1:18" hidden="1" outlineLevel="1" x14ac:dyDescent="0.25">
      <c r="A37" s="1"/>
      <c r="B37" s="31" t="s">
        <v>395</v>
      </c>
      <c r="C37" s="176">
        <v>3492</v>
      </c>
      <c r="D37" s="176">
        <f>VLOOKUP($B37,'CAM est 2017'!$A$6:$P$20,5,FALSE)</f>
        <v>338.92</v>
      </c>
      <c r="E37" s="176">
        <f>VLOOKUP($B37,'CAM est 2017'!$A$6:$P$20,5,FALSE)</f>
        <v>338.92</v>
      </c>
      <c r="F37" s="176">
        <f>VLOOKUP($B37,'CAM est 2017'!$A$6:$P$20,5,FALSE)</f>
        <v>338.92</v>
      </c>
      <c r="G37" s="176">
        <f>VLOOKUP($B37,'CAM est 2017'!$A$6:$P$20,5,FALSE)</f>
        <v>338.92</v>
      </c>
      <c r="H37" s="176">
        <f>VLOOKUP($B37,'CAM est 2017'!$A$6:$P$20,5,FALSE)</f>
        <v>338.92</v>
      </c>
      <c r="I37" s="176">
        <f>VLOOKUP($B37,'CAM est 2017'!$A$6:$P$20,5,FALSE)</f>
        <v>338.92</v>
      </c>
      <c r="J37" s="176">
        <f>VLOOKUP($B37,'CAM est 2017'!$A$6:$P$20,5,FALSE)</f>
        <v>338.92</v>
      </c>
      <c r="K37" s="176">
        <f>VLOOKUP($B37,'CAM est 2017'!$A$6:$P$20,5,FALSE)</f>
        <v>338.92</v>
      </c>
      <c r="L37" s="176">
        <f>VLOOKUP($B37,'CAM est 2017'!$A$6:$P$20,5,FALSE)</f>
        <v>338.92</v>
      </c>
      <c r="M37" s="176">
        <f>VLOOKUP($B37,'CAM est 2017'!$A$6:$P$20,5,FALSE)</f>
        <v>338.92</v>
      </c>
      <c r="N37" s="176">
        <f>VLOOKUP($B37,'CAM est 2017'!$A$6:$P$20,5,FALSE)</f>
        <v>338.92</v>
      </c>
      <c r="O37" s="176">
        <f>VLOOKUP($B37,'CAM est 2017'!$A$6:$P$20,5,FALSE)</f>
        <v>338.92</v>
      </c>
      <c r="P37" s="176">
        <f t="shared" si="6"/>
        <v>4067.0400000000004</v>
      </c>
      <c r="Q37" s="176">
        <f t="shared" si="2"/>
        <v>575.04000000000042</v>
      </c>
      <c r="R37" s="246">
        <f t="shared" si="3"/>
        <v>0.16467353951890046</v>
      </c>
    </row>
    <row r="38" spans="1:18" hidden="1" outlineLevel="1" x14ac:dyDescent="0.25">
      <c r="A38" s="1"/>
      <c r="B38" s="31" t="s">
        <v>396</v>
      </c>
      <c r="C38" s="176">
        <v>49368</v>
      </c>
      <c r="D38" s="176">
        <f>VLOOKUP($B38,'CAM est 2017'!$A$6:$P$20,5,FALSE)</f>
        <v>5036.43</v>
      </c>
      <c r="E38" s="176">
        <f>VLOOKUP($B38,'CAM est 2017'!$A$6:$P$20,5,FALSE)</f>
        <v>5036.43</v>
      </c>
      <c r="F38" s="176">
        <f>VLOOKUP($B38,'CAM est 2017'!$A$6:$P$20,5,FALSE)</f>
        <v>5036.43</v>
      </c>
      <c r="G38" s="176">
        <f>VLOOKUP($B38,'CAM est 2017'!$A$6:$P$20,5,FALSE)</f>
        <v>5036.43</v>
      </c>
      <c r="H38" s="176">
        <f>VLOOKUP($B38,'CAM est 2017'!$A$6:$P$20,5,FALSE)</f>
        <v>5036.43</v>
      </c>
      <c r="I38" s="176">
        <f>VLOOKUP($B38,'CAM est 2017'!$A$6:$P$20,5,FALSE)</f>
        <v>5036.43</v>
      </c>
      <c r="J38" s="176">
        <f>VLOOKUP($B38,'CAM est 2017'!$A$6:$P$20,5,FALSE)</f>
        <v>5036.43</v>
      </c>
      <c r="K38" s="176">
        <f>VLOOKUP($B38,'CAM est 2017'!$A$6:$P$20,5,FALSE)</f>
        <v>5036.43</v>
      </c>
      <c r="L38" s="176">
        <f>VLOOKUP($B38,'CAM est 2017'!$A$6:$P$20,5,FALSE)</f>
        <v>5036.43</v>
      </c>
      <c r="M38" s="176">
        <f>VLOOKUP($B38,'CAM est 2017'!$A$6:$P$20,5,FALSE)</f>
        <v>5036.43</v>
      </c>
      <c r="N38" s="176">
        <f>VLOOKUP($B38,'CAM est 2017'!$A$6:$P$20,5,FALSE)</f>
        <v>5036.43</v>
      </c>
      <c r="O38" s="176">
        <f>VLOOKUP($B38,'CAM est 2017'!$A$6:$P$20,5,FALSE)</f>
        <v>5036.43</v>
      </c>
      <c r="P38" s="176">
        <f t="shared" si="6"/>
        <v>60437.16</v>
      </c>
      <c r="Q38" s="176">
        <f t="shared" si="2"/>
        <v>11069.160000000003</v>
      </c>
      <c r="R38" s="246">
        <f t="shared" si="3"/>
        <v>0.22421730675741378</v>
      </c>
    </row>
    <row r="39" spans="1:18" hidden="1" outlineLevel="1" x14ac:dyDescent="0.25">
      <c r="A39" s="7"/>
      <c r="B39" s="31" t="s">
        <v>401</v>
      </c>
      <c r="C39" s="176">
        <v>6312</v>
      </c>
      <c r="D39" s="176">
        <f>VLOOKUP($B39,'CAM est 2017'!$A$6:$P$20,5,FALSE)</f>
        <v>604.58000000000004</v>
      </c>
      <c r="E39" s="176">
        <f>VLOOKUP($B39,'CAM est 2017'!$A$6:$P$20,5,FALSE)</f>
        <v>604.58000000000004</v>
      </c>
      <c r="F39" s="176">
        <f>VLOOKUP($B39,'CAM est 2017'!$A$6:$P$20,5,FALSE)</f>
        <v>604.58000000000004</v>
      </c>
      <c r="G39" s="176">
        <f>VLOOKUP($B39,'CAM est 2017'!$A$6:$P$20,5,FALSE)</f>
        <v>604.58000000000004</v>
      </c>
      <c r="H39" s="176">
        <f>VLOOKUP($B39,'CAM est 2017'!$A$6:$P$20,5,FALSE)</f>
        <v>604.58000000000004</v>
      </c>
      <c r="I39" s="176">
        <f>VLOOKUP($B39,'CAM est 2017'!$A$6:$P$20,5,FALSE)</f>
        <v>604.58000000000004</v>
      </c>
      <c r="J39" s="176">
        <f>VLOOKUP($B39,'CAM est 2017'!$A$6:$P$20,5,FALSE)</f>
        <v>604.58000000000004</v>
      </c>
      <c r="K39" s="176">
        <f>VLOOKUP($B39,'CAM est 2017'!$A$6:$P$20,5,FALSE)</f>
        <v>604.58000000000004</v>
      </c>
      <c r="L39" s="176">
        <f>VLOOKUP($B39,'CAM est 2017'!$A$6:$P$20,5,FALSE)</f>
        <v>604.58000000000004</v>
      </c>
      <c r="M39" s="176">
        <f>VLOOKUP($B39,'CAM est 2017'!$A$6:$P$20,5,FALSE)</f>
        <v>604.58000000000004</v>
      </c>
      <c r="N39" s="176">
        <f>VLOOKUP($B39,'CAM est 2017'!$A$6:$P$20,5,FALSE)</f>
        <v>604.58000000000004</v>
      </c>
      <c r="O39" s="176">
        <f>VLOOKUP($B39,'CAM est 2017'!$A$6:$P$20,5,FALSE)</f>
        <v>604.58000000000004</v>
      </c>
      <c r="P39" s="176">
        <f t="shared" si="6"/>
        <v>7254.96</v>
      </c>
      <c r="Q39" s="176">
        <f t="shared" si="2"/>
        <v>942.96</v>
      </c>
      <c r="R39" s="246">
        <f t="shared" si="3"/>
        <v>0.14939163498098859</v>
      </c>
    </row>
    <row r="40" spans="1:18" hidden="1" outlineLevel="1" x14ac:dyDescent="0.25">
      <c r="A40" s="7"/>
      <c r="B40" s="31" t="s">
        <v>435</v>
      </c>
      <c r="C40" s="176">
        <v>6236</v>
      </c>
      <c r="D40" s="176">
        <f>VLOOKUP($B40,'CAM est 2017'!$A$6:$P$20,5,FALSE)</f>
        <v>467.75</v>
      </c>
      <c r="E40" s="176">
        <f>VLOOKUP($B40,'CAM est 2017'!$A$6:$P$20,5,FALSE)</f>
        <v>467.75</v>
      </c>
      <c r="F40" s="176">
        <f>VLOOKUP($B40,'CAM est 2017'!$A$6:$P$20,5,FALSE)</f>
        <v>467.75</v>
      </c>
      <c r="G40" s="176">
        <f>VLOOKUP($B40,'CAM est 2017'!$A$6:$P$20,5,FALSE)</f>
        <v>467.75</v>
      </c>
      <c r="H40" s="176">
        <f>VLOOKUP($B40,'CAM est 2017'!$A$6:$P$20,5,FALSE)</f>
        <v>467.75</v>
      </c>
      <c r="I40" s="176">
        <f>VLOOKUP($B40,'CAM est 2017'!$A$6:$P$20,5,FALSE)</f>
        <v>467.75</v>
      </c>
      <c r="J40" s="176">
        <f>VLOOKUP($B40,'CAM est 2017'!$A$6:$P$20,5,FALSE)</f>
        <v>467.75</v>
      </c>
      <c r="K40" s="176">
        <f>VLOOKUP($B40,'CAM est 2017'!$A$6:$P$20,5,FALSE)</f>
        <v>467.75</v>
      </c>
      <c r="L40" s="176">
        <f>VLOOKUP($B40,'CAM est 2017'!$A$6:$P$20,5,FALSE)</f>
        <v>467.75</v>
      </c>
      <c r="M40" s="176">
        <f>VLOOKUP($B40,'CAM est 2017'!$A$6:$P$20,5,FALSE)</f>
        <v>467.75</v>
      </c>
      <c r="N40" s="176">
        <f>VLOOKUP($B40,'CAM est 2017'!$A$6:$P$20,5,FALSE)</f>
        <v>467.75</v>
      </c>
      <c r="O40" s="176">
        <f>VLOOKUP($B40,'CAM est 2017'!$A$6:$P$20,5,FALSE)</f>
        <v>467.75</v>
      </c>
      <c r="P40" s="176">
        <f t="shared" si="6"/>
        <v>5613</v>
      </c>
      <c r="Q40" s="176">
        <f t="shared" si="2"/>
        <v>-623</v>
      </c>
      <c r="R40" s="246">
        <f t="shared" si="3"/>
        <v>-9.9903784477228988E-2</v>
      </c>
    </row>
    <row r="41" spans="1:18" hidden="1" outlineLevel="1" x14ac:dyDescent="0.25">
      <c r="A41" s="7"/>
      <c r="B41" s="31" t="s">
        <v>413</v>
      </c>
      <c r="C41" s="176">
        <v>5724</v>
      </c>
      <c r="D41" s="176">
        <f>VLOOKUP($B41,'CAM est 2017'!$A$6:$P$20,5,FALSE)</f>
        <v>560.12</v>
      </c>
      <c r="E41" s="176">
        <f>VLOOKUP($B41,'CAM est 2017'!$A$6:$P$20,5,FALSE)</f>
        <v>560.12</v>
      </c>
      <c r="F41" s="176">
        <f>VLOOKUP($B41,'CAM est 2017'!$A$6:$P$20,5,FALSE)</f>
        <v>560.12</v>
      </c>
      <c r="G41" s="176">
        <f>VLOOKUP($B41,'CAM est 2017'!$A$6:$P$20,5,FALSE)</f>
        <v>560.12</v>
      </c>
      <c r="H41" s="176">
        <f>VLOOKUP($B41,'CAM est 2017'!$A$6:$P$20,5,FALSE)</f>
        <v>560.12</v>
      </c>
      <c r="I41" s="176">
        <f>VLOOKUP($B41,'CAM est 2017'!$A$6:$P$20,5,FALSE)</f>
        <v>560.12</v>
      </c>
      <c r="J41" s="176">
        <f>VLOOKUP($B41,'CAM est 2017'!$A$6:$P$20,5,FALSE)</f>
        <v>560.12</v>
      </c>
      <c r="K41" s="176">
        <f>VLOOKUP($B41,'CAM est 2017'!$A$6:$P$20,5,FALSE)</f>
        <v>560.12</v>
      </c>
      <c r="L41" s="176">
        <f>VLOOKUP($B41,'CAM est 2017'!$A$6:$P$20,5,FALSE)</f>
        <v>560.12</v>
      </c>
      <c r="M41" s="176">
        <f>VLOOKUP($B41,'CAM est 2017'!$A$6:$P$20,5,FALSE)</f>
        <v>560.12</v>
      </c>
      <c r="N41" s="176">
        <f>VLOOKUP($B41,'CAM est 2017'!$A$6:$P$20,5,FALSE)</f>
        <v>560.12</v>
      </c>
      <c r="O41" s="176">
        <f>VLOOKUP($B41,'CAM est 2017'!$A$6:$P$20,5,FALSE)</f>
        <v>560.12</v>
      </c>
      <c r="P41" s="176">
        <f t="shared" si="6"/>
        <v>6721.44</v>
      </c>
      <c r="Q41" s="176">
        <f t="shared" si="2"/>
        <v>997.4399999999996</v>
      </c>
      <c r="R41" s="246">
        <f t="shared" si="3"/>
        <v>0.17425576519916136</v>
      </c>
    </row>
    <row r="42" spans="1:18" hidden="1" outlineLevel="1" x14ac:dyDescent="0.25">
      <c r="A42" s="7"/>
      <c r="B42" s="31" t="s">
        <v>397</v>
      </c>
      <c r="C42" s="176">
        <v>5736</v>
      </c>
      <c r="D42" s="176">
        <f>VLOOKUP($B42,'CAM est 2017'!$A$6:$P$20,5,FALSE)</f>
        <v>560.03</v>
      </c>
      <c r="E42" s="176">
        <f>VLOOKUP($B42,'CAM est 2017'!$A$6:$P$20,5,FALSE)</f>
        <v>560.03</v>
      </c>
      <c r="F42" s="176">
        <f>VLOOKUP($B42,'CAM est 2017'!$A$6:$P$20,5,FALSE)</f>
        <v>560.03</v>
      </c>
      <c r="G42" s="176">
        <f>VLOOKUP($B42,'CAM est 2017'!$A$6:$P$20,5,FALSE)</f>
        <v>560.03</v>
      </c>
      <c r="H42" s="176">
        <f>VLOOKUP($B42,'CAM est 2017'!$A$6:$P$20,5,FALSE)</f>
        <v>560.03</v>
      </c>
      <c r="I42" s="176">
        <f>VLOOKUP($B42,'CAM est 2017'!$A$6:$P$20,5,FALSE)</f>
        <v>560.03</v>
      </c>
      <c r="J42" s="176">
        <f>VLOOKUP($B42,'CAM est 2017'!$A$6:$P$20,5,FALSE)</f>
        <v>560.03</v>
      </c>
      <c r="K42" s="176">
        <f>VLOOKUP($B42,'CAM est 2017'!$A$6:$P$20,5,FALSE)</f>
        <v>560.03</v>
      </c>
      <c r="L42" s="176">
        <f>VLOOKUP($B42,'CAM est 2017'!$A$6:$P$20,5,FALSE)</f>
        <v>560.03</v>
      </c>
      <c r="M42" s="176">
        <f>VLOOKUP($B42,'CAM est 2017'!$A$6:$P$20,5,FALSE)</f>
        <v>560.03</v>
      </c>
      <c r="N42" s="176">
        <f>VLOOKUP($B42,'CAM est 2017'!$A$6:$P$20,5,FALSE)</f>
        <v>560.03</v>
      </c>
      <c r="O42" s="176">
        <f>VLOOKUP($B42,'CAM est 2017'!$A$6:$P$20,5,FALSE)</f>
        <v>560.03</v>
      </c>
      <c r="P42" s="176">
        <f t="shared" si="6"/>
        <v>6720.3599999999979</v>
      </c>
      <c r="Q42" s="176">
        <f t="shared" si="2"/>
        <v>984.35999999999785</v>
      </c>
      <c r="R42" s="246">
        <f t="shared" si="3"/>
        <v>0.17161087866108748</v>
      </c>
    </row>
    <row r="43" spans="1:18" hidden="1" outlineLevel="1" x14ac:dyDescent="0.25">
      <c r="A43" s="7"/>
      <c r="B43" s="31" t="s">
        <v>415</v>
      </c>
      <c r="C43" s="176">
        <v>0</v>
      </c>
      <c r="D43" s="176">
        <f>VLOOKUP($B43,'CAM est 2017'!$A$6:$P$20,5,FALSE)</f>
        <v>0</v>
      </c>
      <c r="E43" s="176">
        <f>VLOOKUP($B43,'CAM est 2017'!$A$6:$P$20,5,FALSE)</f>
        <v>0</v>
      </c>
      <c r="F43" s="176">
        <f>VLOOKUP($B43,'CAM est 2017'!$A$6:$P$20,5,FALSE)</f>
        <v>0</v>
      </c>
      <c r="G43" s="176">
        <f>VLOOKUP($B43,'CAM est 2017'!$A$6:$P$20,5,FALSE)</f>
        <v>0</v>
      </c>
      <c r="H43" s="176">
        <f>VLOOKUP($B43,'CAM est 2017'!$A$6:$P$20,5,FALSE)</f>
        <v>0</v>
      </c>
      <c r="I43" s="176">
        <f>VLOOKUP($B43,'CAM est 2017'!$A$6:$P$20,5,FALSE)</f>
        <v>0</v>
      </c>
      <c r="J43" s="176">
        <f>VLOOKUP($B43,'CAM est 2017'!$A$6:$P$20,5,FALSE)</f>
        <v>0</v>
      </c>
      <c r="K43" s="176">
        <f>VLOOKUP($B43,'CAM est 2017'!$A$6:$P$20,5,FALSE)</f>
        <v>0</v>
      </c>
      <c r="L43" s="176">
        <f>VLOOKUP($B43,'CAM est 2017'!$A$6:$P$20,5,FALSE)</f>
        <v>0</v>
      </c>
      <c r="M43" s="176">
        <f>VLOOKUP($B43,'CAM est 2017'!$A$6:$P$20,5,FALSE)</f>
        <v>0</v>
      </c>
      <c r="N43" s="176">
        <f>VLOOKUP($B43,'CAM est 2017'!$A$6:$P$20,5,FALSE)</f>
        <v>0</v>
      </c>
      <c r="O43" s="176">
        <f>VLOOKUP($B43,'CAM est 2017'!$A$6:$P$20,5,FALSE)</f>
        <v>0</v>
      </c>
      <c r="P43" s="176">
        <f t="shared" si="6"/>
        <v>0</v>
      </c>
      <c r="Q43" s="176">
        <f t="shared" si="2"/>
        <v>0</v>
      </c>
      <c r="R43" s="246" t="str">
        <f t="shared" si="3"/>
        <v/>
      </c>
    </row>
    <row r="44" spans="1:18" hidden="1" outlineLevel="1" x14ac:dyDescent="0.25">
      <c r="A44" s="7"/>
      <c r="B44" s="31" t="s">
        <v>416</v>
      </c>
      <c r="C44" s="176">
        <v>22380</v>
      </c>
      <c r="D44" s="176">
        <f>VLOOKUP($B44,'CAM est 2017'!$A$6:$P$20,5,FALSE)</f>
        <v>2173.9699999999998</v>
      </c>
      <c r="E44" s="176">
        <f>VLOOKUP($B44,'CAM est 2017'!$A$6:$P$20,5,FALSE)</f>
        <v>2173.9699999999998</v>
      </c>
      <c r="F44" s="176">
        <f>VLOOKUP($B44,'CAM est 2017'!$A$6:$P$20,5,FALSE)</f>
        <v>2173.9699999999998</v>
      </c>
      <c r="G44" s="176">
        <f>VLOOKUP($B44,'CAM est 2017'!$A$6:$P$20,5,FALSE)</f>
        <v>2173.9699999999998</v>
      </c>
      <c r="H44" s="176">
        <f>VLOOKUP($B44,'CAM est 2017'!$A$6:$P$20,5,FALSE)</f>
        <v>2173.9699999999998</v>
      </c>
      <c r="I44" s="176">
        <f>VLOOKUP($B44,'CAM est 2017'!$A$6:$P$20,5,FALSE)</f>
        <v>2173.9699999999998</v>
      </c>
      <c r="J44" s="176">
        <f>VLOOKUP($B44,'CAM est 2017'!$A$6:$P$20,5,FALSE)</f>
        <v>2173.9699999999998</v>
      </c>
      <c r="K44" s="176">
        <f>VLOOKUP($B44,'CAM est 2017'!$A$6:$P$20,5,FALSE)</f>
        <v>2173.9699999999998</v>
      </c>
      <c r="L44" s="176">
        <f>VLOOKUP($B44,'CAM est 2017'!$A$6:$P$20,5,FALSE)</f>
        <v>2173.9699999999998</v>
      </c>
      <c r="M44" s="176">
        <f>VLOOKUP($B44,'CAM est 2017'!$A$6:$P$20,5,FALSE)</f>
        <v>2173.9699999999998</v>
      </c>
      <c r="N44" s="176">
        <f>VLOOKUP($B44,'CAM est 2017'!$A$6:$P$20,5,FALSE)</f>
        <v>2173.9699999999998</v>
      </c>
      <c r="O44" s="176">
        <f>VLOOKUP($B44,'CAM est 2017'!$A$6:$P$20,5,FALSE)</f>
        <v>2173.9699999999998</v>
      </c>
      <c r="P44" s="176">
        <f t="shared" si="6"/>
        <v>26087.640000000003</v>
      </c>
      <c r="Q44" s="176">
        <f t="shared" si="2"/>
        <v>3707.6400000000031</v>
      </c>
      <c r="R44" s="246">
        <f t="shared" si="3"/>
        <v>0.16566756032171595</v>
      </c>
    </row>
    <row r="45" spans="1:18" hidden="1" outlineLevel="1" x14ac:dyDescent="0.25">
      <c r="A45" s="7"/>
      <c r="B45" s="31" t="s">
        <v>417</v>
      </c>
      <c r="C45" s="176">
        <v>9900</v>
      </c>
      <c r="D45" s="176">
        <f>VLOOKUP($B45,'CAM est 2017'!$A$6:$P$20,5,FALSE)</f>
        <v>961.01</v>
      </c>
      <c r="E45" s="176">
        <f>VLOOKUP($B45,'CAM est 2017'!$A$6:$P$20,5,FALSE)</f>
        <v>961.01</v>
      </c>
      <c r="F45" s="176">
        <f>VLOOKUP($B45,'CAM est 2017'!$A$6:$P$20,5,FALSE)</f>
        <v>961.01</v>
      </c>
      <c r="G45" s="176">
        <f>VLOOKUP($B45,'CAM est 2017'!$A$6:$P$20,5,FALSE)</f>
        <v>961.01</v>
      </c>
      <c r="H45" s="176">
        <f>VLOOKUP($B45,'CAM est 2017'!$A$6:$P$20,5,FALSE)</f>
        <v>961.01</v>
      </c>
      <c r="I45" s="176">
        <f>VLOOKUP($B45,'CAM est 2017'!$A$6:$P$20,5,FALSE)</f>
        <v>961.01</v>
      </c>
      <c r="J45" s="176">
        <f>VLOOKUP($B45,'CAM est 2017'!$A$6:$P$20,5,FALSE)</f>
        <v>961.01</v>
      </c>
      <c r="K45" s="176">
        <f>VLOOKUP($B45,'CAM est 2017'!$A$6:$P$20,5,FALSE)</f>
        <v>961.01</v>
      </c>
      <c r="L45" s="176">
        <f>VLOOKUP($B45,'CAM est 2017'!$A$6:$P$20,5,FALSE)</f>
        <v>961.01</v>
      </c>
      <c r="M45" s="176">
        <f>VLOOKUP($B45,'CAM est 2017'!$A$6:$P$20,5,FALSE)</f>
        <v>961.01</v>
      </c>
      <c r="N45" s="176">
        <f>VLOOKUP($B45,'CAM est 2017'!$A$6:$P$20,5,FALSE)</f>
        <v>961.01</v>
      </c>
      <c r="O45" s="176">
        <f>VLOOKUP($B45,'CAM est 2017'!$A$6:$P$20,5,FALSE)</f>
        <v>961.01</v>
      </c>
      <c r="P45" s="176">
        <f t="shared" si="6"/>
        <v>11532.12</v>
      </c>
      <c r="Q45" s="176">
        <f t="shared" si="2"/>
        <v>1632.1200000000008</v>
      </c>
      <c r="R45" s="246">
        <f t="shared" si="3"/>
        <v>0.16486060606060615</v>
      </c>
    </row>
    <row r="46" spans="1:18" hidden="1" outlineLevel="1" x14ac:dyDescent="0.25">
      <c r="A46" s="7"/>
      <c r="B46" s="31" t="s">
        <v>399</v>
      </c>
      <c r="C46" s="176">
        <v>13284</v>
      </c>
      <c r="D46" s="176">
        <f>VLOOKUP($B46,'CAM est 2017'!$A$6:$P$20,5,FALSE)</f>
        <v>1877.16</v>
      </c>
      <c r="E46" s="176">
        <f>VLOOKUP($B46,'CAM est 2017'!$A$6:$P$20,5,FALSE)</f>
        <v>1877.16</v>
      </c>
      <c r="F46" s="176">
        <f>VLOOKUP($B46,'CAM est 2017'!$A$6:$P$20,5,FALSE)</f>
        <v>1877.16</v>
      </c>
      <c r="G46" s="176">
        <f>VLOOKUP($B46,'CAM est 2017'!$A$6:$P$20,5,FALSE)</f>
        <v>1877.16</v>
      </c>
      <c r="H46" s="176">
        <f>VLOOKUP($B46,'CAM est 2017'!$A$6:$P$20,5,FALSE)</f>
        <v>1877.16</v>
      </c>
      <c r="I46" s="176">
        <f>VLOOKUP($B46,'CAM est 2017'!$A$6:$P$20,5,FALSE)</f>
        <v>1877.16</v>
      </c>
      <c r="J46" s="176">
        <f>VLOOKUP($B46,'CAM est 2017'!$A$6:$P$20,5,FALSE)</f>
        <v>1877.16</v>
      </c>
      <c r="K46" s="176">
        <f>VLOOKUP($B46,'CAM est 2017'!$A$6:$P$20,5,FALSE)</f>
        <v>1877.16</v>
      </c>
      <c r="L46" s="176">
        <f>VLOOKUP($B46,'CAM est 2017'!$A$6:$P$20,5,FALSE)</f>
        <v>1877.16</v>
      </c>
      <c r="M46" s="176">
        <f>VLOOKUP($B46,'CAM est 2017'!$A$6:$P$20,5,FALSE)</f>
        <v>1877.16</v>
      </c>
      <c r="N46" s="176">
        <f>VLOOKUP($B46,'CAM est 2017'!$A$6:$P$20,5,FALSE)</f>
        <v>1877.16</v>
      </c>
      <c r="O46" s="176">
        <f>VLOOKUP($B46,'CAM est 2017'!$A$6:$P$20,5,FALSE)</f>
        <v>1877.16</v>
      </c>
      <c r="P46" s="176">
        <f t="shared" si="6"/>
        <v>22525.920000000002</v>
      </c>
      <c r="Q46" s="176">
        <f t="shared" si="2"/>
        <v>9241.9200000000019</v>
      </c>
      <c r="R46" s="246">
        <f t="shared" si="3"/>
        <v>0.69571815718157193</v>
      </c>
    </row>
    <row r="47" spans="1:18" hidden="1" outlineLevel="1" x14ac:dyDescent="0.25">
      <c r="A47" s="7"/>
      <c r="B47" s="125" t="s">
        <v>398</v>
      </c>
      <c r="C47" s="176">
        <v>8604</v>
      </c>
      <c r="D47" s="176">
        <f>VLOOKUP($B47,'CAM est 2017'!$A$6:$P$20,5,FALSE)</f>
        <v>835.66</v>
      </c>
      <c r="E47" s="176">
        <f>VLOOKUP($B47,'CAM est 2017'!$A$6:$P$20,5,FALSE)</f>
        <v>835.66</v>
      </c>
      <c r="F47" s="176">
        <f>VLOOKUP($B47,'CAM est 2017'!$A$6:$P$20,5,FALSE)</f>
        <v>835.66</v>
      </c>
      <c r="G47" s="176">
        <f>VLOOKUP($B47,'CAM est 2017'!$A$6:$P$20,5,FALSE)</f>
        <v>835.66</v>
      </c>
      <c r="H47" s="176">
        <f>VLOOKUP($B47,'CAM est 2017'!$A$6:$P$20,5,FALSE)</f>
        <v>835.66</v>
      </c>
      <c r="I47" s="176">
        <f>VLOOKUP($B47,'CAM est 2017'!$A$6:$P$20,5,FALSE)</f>
        <v>835.66</v>
      </c>
      <c r="J47" s="176">
        <f>VLOOKUP($B47,'CAM est 2017'!$A$6:$P$20,5,FALSE)</f>
        <v>835.66</v>
      </c>
      <c r="K47" s="176">
        <f>VLOOKUP($B47,'CAM est 2017'!$A$6:$P$20,5,FALSE)</f>
        <v>835.66</v>
      </c>
      <c r="L47" s="176">
        <f>VLOOKUP($B47,'CAM est 2017'!$A$6:$P$20,5,FALSE)</f>
        <v>835.66</v>
      </c>
      <c r="M47" s="176">
        <f>VLOOKUP($B47,'CAM est 2017'!$A$6:$P$20,5,FALSE)</f>
        <v>835.66</v>
      </c>
      <c r="N47" s="176">
        <f>VLOOKUP($B47,'CAM est 2017'!$A$6:$P$20,5,FALSE)</f>
        <v>835.66</v>
      </c>
      <c r="O47" s="176">
        <f>VLOOKUP($B47,'CAM est 2017'!$A$6:$P$20,5,FALSE)</f>
        <v>835.66</v>
      </c>
      <c r="P47" s="176">
        <f t="shared" si="6"/>
        <v>10027.92</v>
      </c>
      <c r="Q47" s="176">
        <f t="shared" si="2"/>
        <v>1423.92</v>
      </c>
      <c r="R47" s="246">
        <f t="shared" si="3"/>
        <v>0.16549511854951188</v>
      </c>
    </row>
    <row r="48" spans="1:18" collapsed="1" x14ac:dyDescent="0.25">
      <c r="A48" s="1" t="s">
        <v>17</v>
      </c>
      <c r="B48" s="5" t="s">
        <v>18</v>
      </c>
      <c r="C48" s="176">
        <v>0</v>
      </c>
      <c r="D48" s="176">
        <v>0</v>
      </c>
      <c r="E48" s="176">
        <v>0</v>
      </c>
      <c r="F48" s="176">
        <v>0</v>
      </c>
      <c r="G48" s="176">
        <v>0</v>
      </c>
      <c r="H48" s="176">
        <v>0</v>
      </c>
      <c r="I48" s="176">
        <v>0</v>
      </c>
      <c r="J48" s="176">
        <v>0</v>
      </c>
      <c r="K48" s="176">
        <v>0</v>
      </c>
      <c r="L48" s="176">
        <v>0</v>
      </c>
      <c r="M48" s="176">
        <v>0</v>
      </c>
      <c r="N48" s="176">
        <v>0</v>
      </c>
      <c r="O48" s="176">
        <v>0</v>
      </c>
      <c r="P48" s="176">
        <v>0</v>
      </c>
      <c r="Q48" s="176">
        <f t="shared" si="2"/>
        <v>0</v>
      </c>
      <c r="R48" s="246" t="str">
        <f t="shared" si="3"/>
        <v/>
      </c>
    </row>
    <row r="49" spans="1:18" x14ac:dyDescent="0.25">
      <c r="A49" s="1" t="s">
        <v>19</v>
      </c>
      <c r="B49" s="5" t="s">
        <v>20</v>
      </c>
      <c r="C49" s="182">
        <v>297023</v>
      </c>
      <c r="D49" s="182">
        <f t="shared" ref="D49:O49" si="7">ROUNDDOWN(SUM(D50:D64),0)</f>
        <v>26193</v>
      </c>
      <c r="E49" s="182">
        <f t="shared" si="7"/>
        <v>26193</v>
      </c>
      <c r="F49" s="182">
        <f t="shared" si="7"/>
        <v>26193</v>
      </c>
      <c r="G49" s="182">
        <f t="shared" si="7"/>
        <v>26193</v>
      </c>
      <c r="H49" s="182">
        <f t="shared" si="7"/>
        <v>26193</v>
      </c>
      <c r="I49" s="182">
        <f t="shared" si="7"/>
        <v>26193</v>
      </c>
      <c r="J49" s="182">
        <f t="shared" si="7"/>
        <v>26193</v>
      </c>
      <c r="K49" s="182">
        <f t="shared" si="7"/>
        <v>26193</v>
      </c>
      <c r="L49" s="182">
        <f t="shared" si="7"/>
        <v>26193</v>
      </c>
      <c r="M49" s="182">
        <f t="shared" si="7"/>
        <v>26193</v>
      </c>
      <c r="N49" s="182">
        <f t="shared" si="7"/>
        <v>26193</v>
      </c>
      <c r="O49" s="182">
        <f t="shared" si="7"/>
        <v>26193</v>
      </c>
      <c r="P49" s="182">
        <f>ROUND(SUM(P50:P64),0)</f>
        <v>314321</v>
      </c>
      <c r="Q49" s="182">
        <f t="shared" si="2"/>
        <v>17298</v>
      </c>
      <c r="R49" s="246">
        <f t="shared" si="3"/>
        <v>5.8237914235597918E-2</v>
      </c>
    </row>
    <row r="50" spans="1:18" hidden="1" outlineLevel="1" x14ac:dyDescent="0.25">
      <c r="A50" s="1"/>
      <c r="B50" s="9" t="s">
        <v>400</v>
      </c>
      <c r="C50" s="176">
        <v>11160</v>
      </c>
      <c r="D50" s="176">
        <f>VLOOKUP($B50,'RETaxes 2017'!$A$6:$Q$20,5,FALSE)</f>
        <v>957.56</v>
      </c>
      <c r="E50" s="176">
        <f>VLOOKUP($B50,'RETaxes 2017'!$A$6:$Q$20,6,FALSE)</f>
        <v>957.56</v>
      </c>
      <c r="F50" s="176">
        <f>VLOOKUP($B50,'RETaxes 2017'!$A$6:$Q$20,7,FALSE)</f>
        <v>957.56</v>
      </c>
      <c r="G50" s="176">
        <f>VLOOKUP($B50,'RETaxes 2017'!$A$6:$Q$20,8,FALSE)</f>
        <v>957.56</v>
      </c>
      <c r="H50" s="176">
        <f>VLOOKUP($B50,'RETaxes 2017'!$A$6:$Q$20,9,FALSE)</f>
        <v>957.56</v>
      </c>
      <c r="I50" s="176">
        <f>VLOOKUP($B50,'RETaxes 2017'!$A$6:$Q$20,10,FALSE)</f>
        <v>957.56</v>
      </c>
      <c r="J50" s="176">
        <f>VLOOKUP($B50,'RETaxes 2017'!$A$6:$Q$20,11,FALSE)</f>
        <v>957.56</v>
      </c>
      <c r="K50" s="176">
        <f>VLOOKUP($B50,'RETaxes 2017'!$A$6:$Q$20,12,FALSE)</f>
        <v>957.56</v>
      </c>
      <c r="L50" s="176">
        <f>VLOOKUP($B50,'RETaxes 2017'!$A$6:$Q$20,13,FALSE)</f>
        <v>957.56</v>
      </c>
      <c r="M50" s="176">
        <f>VLOOKUP($B50,'RETaxes 2017'!$A$6:$Q$20,14,FALSE)</f>
        <v>957.56</v>
      </c>
      <c r="N50" s="176">
        <f>VLOOKUP($B50,'RETaxes 2017'!$A$6:$Q$20,15,FALSE)</f>
        <v>957.56</v>
      </c>
      <c r="O50" s="176">
        <f>VLOOKUP($B50,'RETaxes 2017'!$A$6:$Q$20,16,FALSE)</f>
        <v>957.56</v>
      </c>
      <c r="P50" s="176">
        <f t="shared" ref="P50:P64" si="8">SUM(D50:O50)</f>
        <v>11490.719999999996</v>
      </c>
      <c r="Q50" s="176">
        <f t="shared" si="2"/>
        <v>330.71999999999571</v>
      </c>
      <c r="R50" s="246">
        <f t="shared" si="3"/>
        <v>2.9634408602150154E-2</v>
      </c>
    </row>
    <row r="51" spans="1:18" hidden="1" outlineLevel="1" x14ac:dyDescent="0.25">
      <c r="A51" s="7"/>
      <c r="B51" s="9" t="s">
        <v>408</v>
      </c>
      <c r="C51" s="176">
        <v>64050</v>
      </c>
      <c r="D51" s="176">
        <f>VLOOKUP($B51,'RETaxes 2017'!$A$6:$Q$20,5,FALSE)</f>
        <v>5788.67</v>
      </c>
      <c r="E51" s="176">
        <f>VLOOKUP($B51,'RETaxes 2017'!$A$6:$Q$20,6,FALSE)</f>
        <v>5788.67</v>
      </c>
      <c r="F51" s="176">
        <f>VLOOKUP($B51,'RETaxes 2017'!$A$6:$Q$20,7,FALSE)</f>
        <v>5788.67</v>
      </c>
      <c r="G51" s="176">
        <f>VLOOKUP($B51,'RETaxes 2017'!$A$6:$Q$20,8,FALSE)</f>
        <v>5788.67</v>
      </c>
      <c r="H51" s="176">
        <f>VLOOKUP($B51,'RETaxes 2017'!$A$6:$Q$20,9,FALSE)</f>
        <v>5788.67</v>
      </c>
      <c r="I51" s="176">
        <f>VLOOKUP($B51,'RETaxes 2017'!$A$6:$Q$20,10,FALSE)</f>
        <v>5788.67</v>
      </c>
      <c r="J51" s="176">
        <f>VLOOKUP($B51,'RETaxes 2017'!$A$6:$Q$20,11,FALSE)</f>
        <v>5788.67</v>
      </c>
      <c r="K51" s="176">
        <f>VLOOKUP($B51,'RETaxes 2017'!$A$6:$Q$20,12,FALSE)</f>
        <v>5788.67</v>
      </c>
      <c r="L51" s="176">
        <f>VLOOKUP($B51,'RETaxes 2017'!$A$6:$Q$20,13,FALSE)</f>
        <v>5788.67</v>
      </c>
      <c r="M51" s="176">
        <f>VLOOKUP($B51,'RETaxes 2017'!$A$6:$Q$20,14,FALSE)</f>
        <v>5788.67</v>
      </c>
      <c r="N51" s="176">
        <f>VLOOKUP($B51,'RETaxes 2017'!$A$6:$Q$20,15,FALSE)</f>
        <v>5788.67</v>
      </c>
      <c r="O51" s="176">
        <f>VLOOKUP($B51,'RETaxes 2017'!$A$6:$Q$20,16,FALSE)</f>
        <v>5788.67</v>
      </c>
      <c r="P51" s="176">
        <f t="shared" si="8"/>
        <v>69464.039999999994</v>
      </c>
      <c r="Q51" s="176">
        <f t="shared" si="2"/>
        <v>5414.0399999999936</v>
      </c>
      <c r="R51" s="246">
        <f t="shared" si="3"/>
        <v>8.4528337236533857E-2</v>
      </c>
    </row>
    <row r="52" spans="1:18" hidden="1" outlineLevel="1" x14ac:dyDescent="0.25">
      <c r="A52" s="7"/>
      <c r="B52" s="9" t="s">
        <v>409</v>
      </c>
      <c r="C52" s="176">
        <v>4848</v>
      </c>
      <c r="D52" s="176">
        <f>VLOOKUP($B52,'RETaxes 2017'!$A$6:$Q$20,5,FALSE)</f>
        <v>416.62</v>
      </c>
      <c r="E52" s="176">
        <f>VLOOKUP($B52,'RETaxes 2017'!$A$6:$Q$20,6,FALSE)</f>
        <v>416.62</v>
      </c>
      <c r="F52" s="176">
        <f>VLOOKUP($B52,'RETaxes 2017'!$A$6:$Q$20,7,FALSE)</f>
        <v>416.62</v>
      </c>
      <c r="G52" s="176">
        <f>VLOOKUP($B52,'RETaxes 2017'!$A$6:$Q$20,8,FALSE)</f>
        <v>416.62</v>
      </c>
      <c r="H52" s="176">
        <f>VLOOKUP($B52,'RETaxes 2017'!$A$6:$Q$20,9,FALSE)</f>
        <v>416.62</v>
      </c>
      <c r="I52" s="176">
        <f>VLOOKUP($B52,'RETaxes 2017'!$A$6:$Q$20,10,FALSE)</f>
        <v>416.62</v>
      </c>
      <c r="J52" s="176">
        <f>VLOOKUP($B52,'RETaxes 2017'!$A$6:$Q$20,11,FALSE)</f>
        <v>416.62</v>
      </c>
      <c r="K52" s="176">
        <f>VLOOKUP($B52,'RETaxes 2017'!$A$6:$Q$20,12,FALSE)</f>
        <v>416.62</v>
      </c>
      <c r="L52" s="176">
        <f>VLOOKUP($B52,'RETaxes 2017'!$A$6:$Q$20,13,FALSE)</f>
        <v>416.62</v>
      </c>
      <c r="M52" s="176">
        <f>VLOOKUP($B52,'RETaxes 2017'!$A$6:$Q$20,14,FALSE)</f>
        <v>416.62</v>
      </c>
      <c r="N52" s="176">
        <f>VLOOKUP($B52,'RETaxes 2017'!$A$6:$Q$20,15,FALSE)</f>
        <v>416.62</v>
      </c>
      <c r="O52" s="176">
        <f>VLOOKUP($B52,'RETaxes 2017'!$A$6:$Q$20,16,FALSE)</f>
        <v>416.62</v>
      </c>
      <c r="P52" s="176">
        <f t="shared" si="8"/>
        <v>4999.4399999999996</v>
      </c>
      <c r="Q52" s="176">
        <f t="shared" si="2"/>
        <v>151.4399999999996</v>
      </c>
      <c r="R52" s="246">
        <f t="shared" si="3"/>
        <v>3.1237623762376154E-2</v>
      </c>
    </row>
    <row r="53" spans="1:18" hidden="1" outlineLevel="1" x14ac:dyDescent="0.25">
      <c r="A53" s="7"/>
      <c r="B53" s="9" t="s">
        <v>410</v>
      </c>
      <c r="C53" s="176">
        <v>3828</v>
      </c>
      <c r="D53" s="176">
        <f>VLOOKUP($B53,'RETaxes 2017'!$A$6:$Q$20,5,FALSE)</f>
        <v>327.92</v>
      </c>
      <c r="E53" s="176">
        <f>VLOOKUP($B53,'RETaxes 2017'!$A$6:$Q$20,6,FALSE)</f>
        <v>327.92</v>
      </c>
      <c r="F53" s="176">
        <f>VLOOKUP($B53,'RETaxes 2017'!$A$6:$Q$20,7,FALSE)</f>
        <v>327.92</v>
      </c>
      <c r="G53" s="176">
        <f>VLOOKUP($B53,'RETaxes 2017'!$A$6:$Q$20,8,FALSE)</f>
        <v>327.92</v>
      </c>
      <c r="H53" s="176">
        <f>VLOOKUP($B53,'RETaxes 2017'!$A$6:$Q$20,9,FALSE)</f>
        <v>327.92</v>
      </c>
      <c r="I53" s="176">
        <f>VLOOKUP($B53,'RETaxes 2017'!$A$6:$Q$20,10,FALSE)</f>
        <v>327.92</v>
      </c>
      <c r="J53" s="176">
        <f>VLOOKUP($B53,'RETaxes 2017'!$A$6:$Q$20,11,FALSE)</f>
        <v>327.92</v>
      </c>
      <c r="K53" s="176">
        <f>VLOOKUP($B53,'RETaxes 2017'!$A$6:$Q$20,12,FALSE)</f>
        <v>327.92</v>
      </c>
      <c r="L53" s="176">
        <f>VLOOKUP($B53,'RETaxes 2017'!$A$6:$Q$20,13,FALSE)</f>
        <v>327.92</v>
      </c>
      <c r="M53" s="176">
        <f>VLOOKUP($B53,'RETaxes 2017'!$A$6:$Q$20,14,FALSE)</f>
        <v>327.92</v>
      </c>
      <c r="N53" s="176">
        <f>VLOOKUP($B53,'RETaxes 2017'!$A$6:$Q$20,15,FALSE)</f>
        <v>327.92</v>
      </c>
      <c r="O53" s="176">
        <f>VLOOKUP($B53,'RETaxes 2017'!$A$6:$Q$20,16,FALSE)</f>
        <v>327.92</v>
      </c>
      <c r="P53" s="176">
        <f t="shared" si="8"/>
        <v>3935.0400000000004</v>
      </c>
      <c r="Q53" s="176">
        <f t="shared" si="2"/>
        <v>107.04000000000042</v>
      </c>
      <c r="R53" s="246">
        <f t="shared" si="3"/>
        <v>2.7962382445141175E-2</v>
      </c>
    </row>
    <row r="54" spans="1:18" hidden="1" outlineLevel="1" x14ac:dyDescent="0.25">
      <c r="A54" s="7"/>
      <c r="B54" s="9" t="s">
        <v>395</v>
      </c>
      <c r="C54" s="176">
        <v>4764</v>
      </c>
      <c r="D54" s="176">
        <f>VLOOKUP($B54,'RETaxes 2017'!$A$6:$Q$20,5,FALSE)</f>
        <v>408.56</v>
      </c>
      <c r="E54" s="176">
        <f>VLOOKUP($B54,'RETaxes 2017'!$A$6:$Q$20,6,FALSE)</f>
        <v>408.56</v>
      </c>
      <c r="F54" s="176">
        <f>VLOOKUP($B54,'RETaxes 2017'!$A$6:$Q$20,7,FALSE)</f>
        <v>408.56</v>
      </c>
      <c r="G54" s="176">
        <f>VLOOKUP($B54,'RETaxes 2017'!$A$6:$Q$20,8,FALSE)</f>
        <v>408.56</v>
      </c>
      <c r="H54" s="176">
        <f>VLOOKUP($B54,'RETaxes 2017'!$A$6:$Q$20,9,FALSE)</f>
        <v>408.56</v>
      </c>
      <c r="I54" s="176">
        <f>VLOOKUP($B54,'RETaxes 2017'!$A$6:$Q$20,10,FALSE)</f>
        <v>408.56</v>
      </c>
      <c r="J54" s="176">
        <f>VLOOKUP($B54,'RETaxes 2017'!$A$6:$Q$20,11,FALSE)</f>
        <v>408.56</v>
      </c>
      <c r="K54" s="176">
        <f>VLOOKUP($B54,'RETaxes 2017'!$A$6:$Q$20,12,FALSE)</f>
        <v>408.56</v>
      </c>
      <c r="L54" s="176">
        <f>VLOOKUP($B54,'RETaxes 2017'!$A$6:$Q$20,13,FALSE)</f>
        <v>408.56</v>
      </c>
      <c r="M54" s="176">
        <f>VLOOKUP($B54,'RETaxes 2017'!$A$6:$Q$20,14,FALSE)</f>
        <v>408.56</v>
      </c>
      <c r="N54" s="176">
        <f>VLOOKUP($B54,'RETaxes 2017'!$A$6:$Q$20,15,FALSE)</f>
        <v>408.56</v>
      </c>
      <c r="O54" s="176">
        <f>VLOOKUP($B54,'RETaxes 2017'!$A$6:$Q$20,16,FALSE)</f>
        <v>408.56</v>
      </c>
      <c r="P54" s="176">
        <f t="shared" si="8"/>
        <v>4902.72</v>
      </c>
      <c r="Q54" s="176">
        <f t="shared" si="2"/>
        <v>138.72000000000025</v>
      </c>
      <c r="R54" s="246">
        <f t="shared" si="3"/>
        <v>2.9118387909319952E-2</v>
      </c>
    </row>
    <row r="55" spans="1:18" hidden="1" outlineLevel="1" x14ac:dyDescent="0.25">
      <c r="A55" s="7"/>
      <c r="B55" s="9" t="s">
        <v>396</v>
      </c>
      <c r="C55" s="176">
        <v>91332</v>
      </c>
      <c r="D55" s="176">
        <f>VLOOKUP($B55,'RETaxes 2017'!$A$6:$Q$20,5,FALSE)</f>
        <v>8063.69</v>
      </c>
      <c r="E55" s="176">
        <f>VLOOKUP($B55,'RETaxes 2017'!$A$6:$Q$20,6,FALSE)</f>
        <v>8063.69</v>
      </c>
      <c r="F55" s="176">
        <f>VLOOKUP($B55,'RETaxes 2017'!$A$6:$Q$20,7,FALSE)</f>
        <v>8063.69</v>
      </c>
      <c r="G55" s="176">
        <f>VLOOKUP($B55,'RETaxes 2017'!$A$6:$Q$20,8,FALSE)</f>
        <v>8063.69</v>
      </c>
      <c r="H55" s="176">
        <f>VLOOKUP($B55,'RETaxes 2017'!$A$6:$Q$20,9,FALSE)</f>
        <v>8063.69</v>
      </c>
      <c r="I55" s="176">
        <f>VLOOKUP($B55,'RETaxes 2017'!$A$6:$Q$20,10,FALSE)</f>
        <v>8063.69</v>
      </c>
      <c r="J55" s="176">
        <f>VLOOKUP($B55,'RETaxes 2017'!$A$6:$Q$20,11,FALSE)</f>
        <v>8063.69</v>
      </c>
      <c r="K55" s="176">
        <f>VLOOKUP($B55,'RETaxes 2017'!$A$6:$Q$20,12,FALSE)</f>
        <v>8063.69</v>
      </c>
      <c r="L55" s="176">
        <f>VLOOKUP($B55,'RETaxes 2017'!$A$6:$Q$20,13,FALSE)</f>
        <v>8063.69</v>
      </c>
      <c r="M55" s="176">
        <f>VLOOKUP($B55,'RETaxes 2017'!$A$6:$Q$20,14,FALSE)</f>
        <v>8063.69</v>
      </c>
      <c r="N55" s="176">
        <f>VLOOKUP($B55,'RETaxes 2017'!$A$6:$Q$20,15,FALSE)</f>
        <v>8063.69</v>
      </c>
      <c r="O55" s="176">
        <f>VLOOKUP($B55,'RETaxes 2017'!$A$6:$Q$20,16,FALSE)</f>
        <v>8063.69</v>
      </c>
      <c r="P55" s="176">
        <f t="shared" si="8"/>
        <v>96764.280000000013</v>
      </c>
      <c r="Q55" s="176">
        <f t="shared" si="2"/>
        <v>5432.2800000000134</v>
      </c>
      <c r="R55" s="246">
        <f t="shared" si="3"/>
        <v>5.9478386545789137E-2</v>
      </c>
    </row>
    <row r="56" spans="1:18" hidden="1" outlineLevel="1" x14ac:dyDescent="0.25">
      <c r="A56" s="7"/>
      <c r="B56" s="9" t="s">
        <v>401</v>
      </c>
      <c r="C56" s="176">
        <v>7824</v>
      </c>
      <c r="D56" s="176">
        <f>VLOOKUP($B56,'RETaxes 2017'!$A$6:$Q$20,5,FALSE)</f>
        <v>671.97</v>
      </c>
      <c r="E56" s="176">
        <f>VLOOKUP($B56,'RETaxes 2017'!$A$6:$Q$20,6,FALSE)</f>
        <v>671.97</v>
      </c>
      <c r="F56" s="176">
        <f>VLOOKUP($B56,'RETaxes 2017'!$A$6:$Q$20,7,FALSE)</f>
        <v>671.97</v>
      </c>
      <c r="G56" s="176">
        <f>VLOOKUP($B56,'RETaxes 2017'!$A$6:$Q$20,8,FALSE)</f>
        <v>671.97</v>
      </c>
      <c r="H56" s="176">
        <f>VLOOKUP($B56,'RETaxes 2017'!$A$6:$Q$20,9,FALSE)</f>
        <v>671.97</v>
      </c>
      <c r="I56" s="176">
        <f>VLOOKUP($B56,'RETaxes 2017'!$A$6:$Q$20,10,FALSE)</f>
        <v>671.97</v>
      </c>
      <c r="J56" s="176">
        <f>VLOOKUP($B56,'RETaxes 2017'!$A$6:$Q$20,11,FALSE)</f>
        <v>671.97</v>
      </c>
      <c r="K56" s="176">
        <f>VLOOKUP($B56,'RETaxes 2017'!$A$6:$Q$20,12,FALSE)</f>
        <v>671.97</v>
      </c>
      <c r="L56" s="176">
        <f>VLOOKUP($B56,'RETaxes 2017'!$A$6:$Q$20,13,FALSE)</f>
        <v>671.97</v>
      </c>
      <c r="M56" s="176">
        <f>VLOOKUP($B56,'RETaxes 2017'!$A$6:$Q$20,14,FALSE)</f>
        <v>671.97</v>
      </c>
      <c r="N56" s="176">
        <f>VLOOKUP($B56,'RETaxes 2017'!$A$6:$Q$20,15,FALSE)</f>
        <v>671.97</v>
      </c>
      <c r="O56" s="176">
        <f>VLOOKUP($B56,'RETaxes 2017'!$A$6:$Q$20,16,FALSE)</f>
        <v>671.97</v>
      </c>
      <c r="P56" s="176">
        <f t="shared" si="8"/>
        <v>8063.6400000000021</v>
      </c>
      <c r="Q56" s="176">
        <f t="shared" si="2"/>
        <v>239.64000000000215</v>
      </c>
      <c r="R56" s="246">
        <f t="shared" si="3"/>
        <v>3.0628834355828496E-2</v>
      </c>
    </row>
    <row r="57" spans="1:18" hidden="1" outlineLevel="1" x14ac:dyDescent="0.25">
      <c r="A57" s="7"/>
      <c r="B57" s="9" t="s">
        <v>435</v>
      </c>
      <c r="C57" s="176">
        <v>7958</v>
      </c>
      <c r="D57" s="176">
        <f>VLOOKUP($B57,'RETaxes 2017'!$A$6:$Q$20,5,FALSE)</f>
        <v>657.86</v>
      </c>
      <c r="E57" s="176">
        <f>VLOOKUP($B57,'RETaxes 2017'!$A$6:$Q$20,6,FALSE)</f>
        <v>657.86</v>
      </c>
      <c r="F57" s="176">
        <f>VLOOKUP($B57,'RETaxes 2017'!$A$6:$Q$20,7,FALSE)</f>
        <v>657.86</v>
      </c>
      <c r="G57" s="176">
        <f>VLOOKUP($B57,'RETaxes 2017'!$A$6:$Q$20,8,FALSE)</f>
        <v>657.86</v>
      </c>
      <c r="H57" s="176">
        <f>VLOOKUP($B57,'RETaxes 2017'!$A$6:$Q$20,9,FALSE)</f>
        <v>657.86</v>
      </c>
      <c r="I57" s="176">
        <f>VLOOKUP($B57,'RETaxes 2017'!$A$6:$Q$20,10,FALSE)</f>
        <v>657.86</v>
      </c>
      <c r="J57" s="176">
        <f>VLOOKUP($B57,'RETaxes 2017'!$A$6:$Q$20,11,FALSE)</f>
        <v>657.86</v>
      </c>
      <c r="K57" s="176">
        <f>VLOOKUP($B57,'RETaxes 2017'!$A$6:$Q$20,12,FALSE)</f>
        <v>657.86</v>
      </c>
      <c r="L57" s="176">
        <f>VLOOKUP($B57,'RETaxes 2017'!$A$6:$Q$20,13,FALSE)</f>
        <v>657.86</v>
      </c>
      <c r="M57" s="176">
        <f>VLOOKUP($B57,'RETaxes 2017'!$A$6:$Q$20,14,FALSE)</f>
        <v>657.86</v>
      </c>
      <c r="N57" s="176">
        <f>VLOOKUP($B57,'RETaxes 2017'!$A$6:$Q$20,15,FALSE)</f>
        <v>657.86</v>
      </c>
      <c r="O57" s="176">
        <f>VLOOKUP($B57,'RETaxes 2017'!$A$6:$Q$20,16,FALSE)</f>
        <v>657.86</v>
      </c>
      <c r="P57" s="176">
        <f t="shared" si="8"/>
        <v>7894.3199999999988</v>
      </c>
      <c r="Q57" s="176">
        <f t="shared" si="2"/>
        <v>-63.680000000001201</v>
      </c>
      <c r="R57" s="246">
        <f t="shared" si="3"/>
        <v>-8.002010555416085E-3</v>
      </c>
    </row>
    <row r="58" spans="1:18" hidden="1" outlineLevel="1" x14ac:dyDescent="0.25">
      <c r="A58" s="7"/>
      <c r="B58" s="9" t="s">
        <v>413</v>
      </c>
      <c r="C58" s="176">
        <v>7824</v>
      </c>
      <c r="D58" s="176">
        <f>VLOOKUP($B58,'RETaxes 2017'!$A$6:$Q$20,5,FALSE)</f>
        <v>671.04</v>
      </c>
      <c r="E58" s="176">
        <f>VLOOKUP($B58,'RETaxes 2017'!$A$6:$Q$20,6,FALSE)</f>
        <v>671.04</v>
      </c>
      <c r="F58" s="176">
        <f>VLOOKUP($B58,'RETaxes 2017'!$A$6:$Q$20,7,FALSE)</f>
        <v>671.04</v>
      </c>
      <c r="G58" s="176">
        <f>VLOOKUP($B58,'RETaxes 2017'!$A$6:$Q$20,8,FALSE)</f>
        <v>671.04</v>
      </c>
      <c r="H58" s="176">
        <f>VLOOKUP($B58,'RETaxes 2017'!$A$6:$Q$20,9,FALSE)</f>
        <v>671.04</v>
      </c>
      <c r="I58" s="176">
        <f>VLOOKUP($B58,'RETaxes 2017'!$A$6:$Q$20,10,FALSE)</f>
        <v>671.04</v>
      </c>
      <c r="J58" s="176">
        <f>VLOOKUP($B58,'RETaxes 2017'!$A$6:$Q$20,11,FALSE)</f>
        <v>671.04</v>
      </c>
      <c r="K58" s="176">
        <f>VLOOKUP($B58,'RETaxes 2017'!$A$6:$Q$20,12,FALSE)</f>
        <v>671.04</v>
      </c>
      <c r="L58" s="176">
        <f>VLOOKUP($B58,'RETaxes 2017'!$A$6:$Q$20,13,FALSE)</f>
        <v>671.04</v>
      </c>
      <c r="M58" s="176">
        <f>VLOOKUP($B58,'RETaxes 2017'!$A$6:$Q$20,14,FALSE)</f>
        <v>671.04</v>
      </c>
      <c r="N58" s="176">
        <f>VLOOKUP($B58,'RETaxes 2017'!$A$6:$Q$20,15,FALSE)</f>
        <v>671.04</v>
      </c>
      <c r="O58" s="176">
        <f>VLOOKUP($B58,'RETaxes 2017'!$A$6:$Q$20,16,FALSE)</f>
        <v>671.04</v>
      </c>
      <c r="P58" s="176">
        <f t="shared" si="8"/>
        <v>8052.48</v>
      </c>
      <c r="Q58" s="176">
        <f t="shared" si="2"/>
        <v>228.47999999999956</v>
      </c>
      <c r="R58" s="246">
        <f t="shared" si="3"/>
        <v>2.9202453987730005E-2</v>
      </c>
    </row>
    <row r="59" spans="1:18" hidden="1" outlineLevel="1" x14ac:dyDescent="0.25">
      <c r="A59" s="1"/>
      <c r="B59" s="9" t="s">
        <v>397</v>
      </c>
      <c r="C59" s="176">
        <v>7824</v>
      </c>
      <c r="D59" s="176">
        <f>VLOOKUP($B59,'RETaxes 2017'!$A$6:$Q$20,5,FALSE)</f>
        <v>671.04</v>
      </c>
      <c r="E59" s="176">
        <f>VLOOKUP($B59,'RETaxes 2017'!$A$6:$Q$20,6,FALSE)</f>
        <v>671.04</v>
      </c>
      <c r="F59" s="176">
        <f>VLOOKUP($B59,'RETaxes 2017'!$A$6:$Q$20,7,FALSE)</f>
        <v>671.04</v>
      </c>
      <c r="G59" s="176">
        <f>VLOOKUP($B59,'RETaxes 2017'!$A$6:$Q$20,8,FALSE)</f>
        <v>671.04</v>
      </c>
      <c r="H59" s="176">
        <f>VLOOKUP($B59,'RETaxes 2017'!$A$6:$Q$20,9,FALSE)</f>
        <v>671.04</v>
      </c>
      <c r="I59" s="176">
        <f>VLOOKUP($B59,'RETaxes 2017'!$A$6:$Q$20,10,FALSE)</f>
        <v>671.04</v>
      </c>
      <c r="J59" s="176">
        <f>VLOOKUP($B59,'RETaxes 2017'!$A$6:$Q$20,11,FALSE)</f>
        <v>671.04</v>
      </c>
      <c r="K59" s="176">
        <f>VLOOKUP($B59,'RETaxes 2017'!$A$6:$Q$20,12,FALSE)</f>
        <v>671.04</v>
      </c>
      <c r="L59" s="176">
        <f>VLOOKUP($B59,'RETaxes 2017'!$A$6:$Q$20,13,FALSE)</f>
        <v>671.04</v>
      </c>
      <c r="M59" s="176">
        <f>VLOOKUP($B59,'RETaxes 2017'!$A$6:$Q$20,14,FALSE)</f>
        <v>671.04</v>
      </c>
      <c r="N59" s="176">
        <f>VLOOKUP($B59,'RETaxes 2017'!$A$6:$Q$20,15,FALSE)</f>
        <v>671.04</v>
      </c>
      <c r="O59" s="176">
        <f>VLOOKUP($B59,'RETaxes 2017'!$A$6:$Q$20,16,FALSE)</f>
        <v>671.04</v>
      </c>
      <c r="P59" s="176">
        <f t="shared" si="8"/>
        <v>8052.48</v>
      </c>
      <c r="Q59" s="176">
        <f t="shared" si="2"/>
        <v>228.47999999999956</v>
      </c>
      <c r="R59" s="246">
        <f t="shared" si="3"/>
        <v>2.9202453987730005E-2</v>
      </c>
    </row>
    <row r="60" spans="1:18" hidden="1" outlineLevel="1" x14ac:dyDescent="0.25">
      <c r="A60" s="1"/>
      <c r="B60" s="9" t="s">
        <v>415</v>
      </c>
      <c r="C60" s="176">
        <v>0</v>
      </c>
      <c r="D60" s="176">
        <f>VLOOKUP($B60,'RETaxes 2017'!$A$6:$Q$20,5,FALSE)</f>
        <v>0</v>
      </c>
      <c r="E60" s="176">
        <f>VLOOKUP($B60,'RETaxes 2017'!$A$6:$Q$20,6,FALSE)</f>
        <v>0</v>
      </c>
      <c r="F60" s="176">
        <f>VLOOKUP($B60,'RETaxes 2017'!$A$6:$Q$20,7,FALSE)</f>
        <v>0</v>
      </c>
      <c r="G60" s="176">
        <f>VLOOKUP($B60,'RETaxes 2017'!$A$6:$Q$20,8,FALSE)</f>
        <v>0</v>
      </c>
      <c r="H60" s="176">
        <f>VLOOKUP($B60,'RETaxes 2017'!$A$6:$Q$20,9,FALSE)</f>
        <v>0</v>
      </c>
      <c r="I60" s="176">
        <f>VLOOKUP($B60,'RETaxes 2017'!$A$6:$Q$20,10,FALSE)</f>
        <v>0</v>
      </c>
      <c r="J60" s="176">
        <f>VLOOKUP($B60,'RETaxes 2017'!$A$6:$Q$20,11,FALSE)</f>
        <v>0</v>
      </c>
      <c r="K60" s="176">
        <f>VLOOKUP($B60,'RETaxes 2017'!$A$6:$Q$20,12,FALSE)</f>
        <v>0</v>
      </c>
      <c r="L60" s="176">
        <f>VLOOKUP($B60,'RETaxes 2017'!$A$6:$Q$20,13,FALSE)</f>
        <v>0</v>
      </c>
      <c r="M60" s="176">
        <f>VLOOKUP($B60,'RETaxes 2017'!$A$6:$Q$20,14,FALSE)</f>
        <v>0</v>
      </c>
      <c r="N60" s="176">
        <f>VLOOKUP($B60,'RETaxes 2017'!$A$6:$Q$20,15,FALSE)</f>
        <v>0</v>
      </c>
      <c r="O60" s="176">
        <f>VLOOKUP($B60,'RETaxes 2017'!$A$6:$Q$20,16,FALSE)</f>
        <v>0</v>
      </c>
      <c r="P60" s="176">
        <f t="shared" si="8"/>
        <v>0</v>
      </c>
      <c r="Q60" s="176">
        <f t="shared" si="2"/>
        <v>0</v>
      </c>
      <c r="R60" s="246" t="str">
        <f t="shared" si="3"/>
        <v/>
      </c>
    </row>
    <row r="61" spans="1:18" hidden="1" outlineLevel="1" x14ac:dyDescent="0.25">
      <c r="A61" s="1"/>
      <c r="B61" s="9" t="s">
        <v>416</v>
      </c>
      <c r="C61" s="176">
        <v>30540</v>
      </c>
      <c r="D61" s="176">
        <f>VLOOKUP($B61,'RETaxes 2017'!$A$6:$Q$20,5,FALSE)</f>
        <v>2620.69</v>
      </c>
      <c r="E61" s="176">
        <f>VLOOKUP($B61,'RETaxes 2017'!$A$6:$Q$20,6,FALSE)</f>
        <v>2620.69</v>
      </c>
      <c r="F61" s="176">
        <f>VLOOKUP($B61,'RETaxes 2017'!$A$6:$Q$20,7,FALSE)</f>
        <v>2620.69</v>
      </c>
      <c r="G61" s="176">
        <f>VLOOKUP($B61,'RETaxes 2017'!$A$6:$Q$20,8,FALSE)</f>
        <v>2620.69</v>
      </c>
      <c r="H61" s="176">
        <f>VLOOKUP($B61,'RETaxes 2017'!$A$6:$Q$20,9,FALSE)</f>
        <v>2620.69</v>
      </c>
      <c r="I61" s="176">
        <f>VLOOKUP($B61,'RETaxes 2017'!$A$6:$Q$20,10,FALSE)</f>
        <v>2620.69</v>
      </c>
      <c r="J61" s="176">
        <f>VLOOKUP($B61,'RETaxes 2017'!$A$6:$Q$20,11,FALSE)</f>
        <v>2620.69</v>
      </c>
      <c r="K61" s="176">
        <f>VLOOKUP($B61,'RETaxes 2017'!$A$6:$Q$20,12,FALSE)</f>
        <v>2620.69</v>
      </c>
      <c r="L61" s="176">
        <f>VLOOKUP($B61,'RETaxes 2017'!$A$6:$Q$20,13,FALSE)</f>
        <v>2620.69</v>
      </c>
      <c r="M61" s="176">
        <f>VLOOKUP($B61,'RETaxes 2017'!$A$6:$Q$20,14,FALSE)</f>
        <v>2620.69</v>
      </c>
      <c r="N61" s="176">
        <f>VLOOKUP($B61,'RETaxes 2017'!$A$6:$Q$20,15,FALSE)</f>
        <v>2620.69</v>
      </c>
      <c r="O61" s="176">
        <f>VLOOKUP($B61,'RETaxes 2017'!$A$6:$Q$20,16,FALSE)</f>
        <v>2620.69</v>
      </c>
      <c r="P61" s="176">
        <f t="shared" si="8"/>
        <v>31448.279999999995</v>
      </c>
      <c r="Q61" s="176">
        <f t="shared" si="2"/>
        <v>908.2799999999952</v>
      </c>
      <c r="R61" s="246">
        <f t="shared" si="3"/>
        <v>2.9740667976424204E-2</v>
      </c>
    </row>
    <row r="62" spans="1:18" hidden="1" outlineLevel="1" x14ac:dyDescent="0.25">
      <c r="A62" s="1"/>
      <c r="B62" s="9" t="s">
        <v>417</v>
      </c>
      <c r="C62" s="176">
        <v>11748</v>
      </c>
      <c r="D62" s="176">
        <f>VLOOKUP($B62,'RETaxes 2017'!$A$6:$Q$20,5,FALSE)</f>
        <v>1007.34</v>
      </c>
      <c r="E62" s="176">
        <f>VLOOKUP($B62,'RETaxes 2017'!$A$6:$Q$20,6,FALSE)</f>
        <v>1007.34</v>
      </c>
      <c r="F62" s="176">
        <f>VLOOKUP($B62,'RETaxes 2017'!$A$6:$Q$20,7,FALSE)</f>
        <v>1007.34</v>
      </c>
      <c r="G62" s="176">
        <f>VLOOKUP($B62,'RETaxes 2017'!$A$6:$Q$20,8,FALSE)</f>
        <v>1007.34</v>
      </c>
      <c r="H62" s="176">
        <f>VLOOKUP($B62,'RETaxes 2017'!$A$6:$Q$20,9,FALSE)</f>
        <v>1007.34</v>
      </c>
      <c r="I62" s="176">
        <f>VLOOKUP($B62,'RETaxes 2017'!$A$6:$Q$20,10,FALSE)</f>
        <v>1007.34</v>
      </c>
      <c r="J62" s="176">
        <f>VLOOKUP($B62,'RETaxes 2017'!$A$6:$Q$20,11,FALSE)</f>
        <v>1007.34</v>
      </c>
      <c r="K62" s="176">
        <f>VLOOKUP($B62,'RETaxes 2017'!$A$6:$Q$20,12,FALSE)</f>
        <v>1007.34</v>
      </c>
      <c r="L62" s="176">
        <f>VLOOKUP($B62,'RETaxes 2017'!$A$6:$Q$20,13,FALSE)</f>
        <v>1007.34</v>
      </c>
      <c r="M62" s="176">
        <f>VLOOKUP($B62,'RETaxes 2017'!$A$6:$Q$20,14,FALSE)</f>
        <v>1007.34</v>
      </c>
      <c r="N62" s="176">
        <f>VLOOKUP($B62,'RETaxes 2017'!$A$6:$Q$20,15,FALSE)</f>
        <v>1007.34</v>
      </c>
      <c r="O62" s="176">
        <f>VLOOKUP($B62,'RETaxes 2017'!$A$6:$Q$20,16,FALSE)</f>
        <v>1007.34</v>
      </c>
      <c r="P62" s="176">
        <f t="shared" si="8"/>
        <v>12088.08</v>
      </c>
      <c r="Q62" s="176">
        <f t="shared" si="2"/>
        <v>340.07999999999993</v>
      </c>
      <c r="R62" s="246">
        <f t="shared" si="3"/>
        <v>2.8947906026557706E-2</v>
      </c>
    </row>
    <row r="63" spans="1:18" hidden="1" outlineLevel="1" x14ac:dyDescent="0.25">
      <c r="A63" s="1"/>
      <c r="B63" s="9" t="s">
        <v>399</v>
      </c>
      <c r="C63" s="176">
        <v>34068</v>
      </c>
      <c r="D63" s="176">
        <f>VLOOKUP($B63,'RETaxes 2017'!$A$6:$Q$20,5,FALSE)</f>
        <v>2923.09</v>
      </c>
      <c r="E63" s="176">
        <f>VLOOKUP($B63,'RETaxes 2017'!$A$6:$Q$20,6,FALSE)</f>
        <v>2923.09</v>
      </c>
      <c r="F63" s="176">
        <f>VLOOKUP($B63,'RETaxes 2017'!$A$6:$Q$20,7,FALSE)</f>
        <v>2923.09</v>
      </c>
      <c r="G63" s="176">
        <f>VLOOKUP($B63,'RETaxes 2017'!$A$6:$Q$20,8,FALSE)</f>
        <v>2923.09</v>
      </c>
      <c r="H63" s="176">
        <f>VLOOKUP($B63,'RETaxes 2017'!$A$6:$Q$20,9,FALSE)</f>
        <v>2923.09</v>
      </c>
      <c r="I63" s="176">
        <f>VLOOKUP($B63,'RETaxes 2017'!$A$6:$Q$20,10,FALSE)</f>
        <v>2923.09</v>
      </c>
      <c r="J63" s="176">
        <f>VLOOKUP($B63,'RETaxes 2017'!$A$6:$Q$20,11,FALSE)</f>
        <v>2923.09</v>
      </c>
      <c r="K63" s="176">
        <f>VLOOKUP($B63,'RETaxes 2017'!$A$6:$Q$20,12,FALSE)</f>
        <v>2923.09</v>
      </c>
      <c r="L63" s="176">
        <f>VLOOKUP($B63,'RETaxes 2017'!$A$6:$Q$20,13,FALSE)</f>
        <v>2923.09</v>
      </c>
      <c r="M63" s="176">
        <f>VLOOKUP($B63,'RETaxes 2017'!$A$6:$Q$20,14,FALSE)</f>
        <v>2923.09</v>
      </c>
      <c r="N63" s="176">
        <f>VLOOKUP($B63,'RETaxes 2017'!$A$6:$Q$20,15,FALSE)</f>
        <v>2923.09</v>
      </c>
      <c r="O63" s="176">
        <f>VLOOKUP($B63,'RETaxes 2017'!$A$6:$Q$20,16,FALSE)</f>
        <v>2923.09</v>
      </c>
      <c r="P63" s="176">
        <f t="shared" si="8"/>
        <v>35077.08</v>
      </c>
      <c r="Q63" s="176">
        <f t="shared" si="2"/>
        <v>1009.0800000000017</v>
      </c>
      <c r="R63" s="246">
        <f t="shared" si="3"/>
        <v>2.9619584360690437E-2</v>
      </c>
    </row>
    <row r="64" spans="1:18" hidden="1" outlineLevel="1" x14ac:dyDescent="0.25">
      <c r="A64" s="1"/>
      <c r="B64" s="9" t="s">
        <v>398</v>
      </c>
      <c r="C64" s="176">
        <v>9255</v>
      </c>
      <c r="D64" s="176">
        <f>VLOOKUP($B64,'RETaxes 2017'!$A$6:$Q$20,5,FALSE)</f>
        <v>1007.34</v>
      </c>
      <c r="E64" s="176">
        <f>VLOOKUP($B64,'RETaxes 2017'!$A$6:$Q$20,6,FALSE)</f>
        <v>1007.34</v>
      </c>
      <c r="F64" s="176">
        <f>VLOOKUP($B64,'RETaxes 2017'!$A$6:$Q$20,7,FALSE)</f>
        <v>1007.34</v>
      </c>
      <c r="G64" s="176">
        <f>VLOOKUP($B64,'RETaxes 2017'!$A$6:$Q$20,8,FALSE)</f>
        <v>1007.34</v>
      </c>
      <c r="H64" s="176">
        <f>VLOOKUP($B64,'RETaxes 2017'!$A$6:$Q$20,9,FALSE)</f>
        <v>1007.34</v>
      </c>
      <c r="I64" s="176">
        <f>VLOOKUP($B64,'RETaxes 2017'!$A$6:$Q$20,10,FALSE)</f>
        <v>1007.34</v>
      </c>
      <c r="J64" s="176">
        <f>VLOOKUP($B64,'RETaxes 2017'!$A$6:$Q$20,11,FALSE)</f>
        <v>1007.34</v>
      </c>
      <c r="K64" s="176">
        <f>VLOOKUP($B64,'RETaxes 2017'!$A$6:$Q$20,12,FALSE)</f>
        <v>1007.34</v>
      </c>
      <c r="L64" s="176">
        <f>VLOOKUP($B64,'RETaxes 2017'!$A$6:$Q$20,13,FALSE)</f>
        <v>1007.34</v>
      </c>
      <c r="M64" s="176">
        <f>VLOOKUP($B64,'RETaxes 2017'!$A$6:$Q$20,14,FALSE)</f>
        <v>1007.34</v>
      </c>
      <c r="N64" s="176">
        <f>VLOOKUP($B64,'RETaxes 2017'!$A$6:$Q$20,15,FALSE)</f>
        <v>1007.34</v>
      </c>
      <c r="O64" s="176">
        <f>VLOOKUP($B64,'RETaxes 2017'!$A$6:$Q$20,16,FALSE)</f>
        <v>1007.34</v>
      </c>
      <c r="P64" s="176">
        <f t="shared" si="8"/>
        <v>12088.08</v>
      </c>
      <c r="Q64" s="176">
        <f t="shared" si="2"/>
        <v>2833.08</v>
      </c>
      <c r="R64" s="246">
        <f t="shared" si="3"/>
        <v>0.30611345218800645</v>
      </c>
    </row>
    <row r="65" spans="1:18" collapsed="1" x14ac:dyDescent="0.25">
      <c r="A65" s="1" t="s">
        <v>21</v>
      </c>
      <c r="B65" s="5" t="s">
        <v>22</v>
      </c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>
        <v>0</v>
      </c>
      <c r="Q65" s="176" t="str">
        <f t="shared" si="2"/>
        <v/>
      </c>
      <c r="R65" s="246" t="str">
        <f t="shared" si="3"/>
        <v/>
      </c>
    </row>
    <row r="66" spans="1:18" x14ac:dyDescent="0.25">
      <c r="A66" s="1" t="s">
        <v>23</v>
      </c>
      <c r="B66" s="5" t="s">
        <v>24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>
        <v>0</v>
      </c>
      <c r="Q66" s="176" t="str">
        <f t="shared" si="2"/>
        <v/>
      </c>
      <c r="R66" s="246" t="str">
        <f t="shared" si="3"/>
        <v/>
      </c>
    </row>
    <row r="67" spans="1:18" x14ac:dyDescent="0.25">
      <c r="A67" s="1" t="s">
        <v>25</v>
      </c>
      <c r="B67" s="5" t="s">
        <v>26</v>
      </c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>
        <v>0</v>
      </c>
      <c r="Q67" s="176" t="str">
        <f t="shared" si="2"/>
        <v/>
      </c>
      <c r="R67" s="246" t="str">
        <f t="shared" si="3"/>
        <v/>
      </c>
    </row>
    <row r="68" spans="1:18" ht="15.75" thickBot="1" x14ac:dyDescent="0.3">
      <c r="A68" s="1" t="s">
        <v>27</v>
      </c>
      <c r="B68" s="5" t="s">
        <v>28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>
        <v>0</v>
      </c>
      <c r="Q68" s="176" t="str">
        <f t="shared" si="2"/>
        <v/>
      </c>
      <c r="R68" s="246" t="str">
        <f t="shared" si="3"/>
        <v/>
      </c>
    </row>
    <row r="69" spans="1:18" s="121" customFormat="1" x14ac:dyDescent="0.25">
      <c r="A69" s="6" t="s">
        <v>29</v>
      </c>
      <c r="B69" s="3" t="s">
        <v>30</v>
      </c>
      <c r="C69" s="178">
        <f t="shared" ref="C69:P69" si="9">SUM(C65:C68,C49,C48,C32,C31)</f>
        <v>489675</v>
      </c>
      <c r="D69" s="178">
        <f t="shared" si="9"/>
        <v>45072</v>
      </c>
      <c r="E69" s="178">
        <f t="shared" si="9"/>
        <v>45072</v>
      </c>
      <c r="F69" s="178">
        <f t="shared" si="9"/>
        <v>45072</v>
      </c>
      <c r="G69" s="178">
        <f t="shared" si="9"/>
        <v>45072</v>
      </c>
      <c r="H69" s="178">
        <f t="shared" si="9"/>
        <v>45072</v>
      </c>
      <c r="I69" s="178">
        <f t="shared" si="9"/>
        <v>45072</v>
      </c>
      <c r="J69" s="178">
        <f t="shared" si="9"/>
        <v>45072</v>
      </c>
      <c r="K69" s="178">
        <f t="shared" si="9"/>
        <v>45072</v>
      </c>
      <c r="L69" s="178">
        <f t="shared" si="9"/>
        <v>45072</v>
      </c>
      <c r="M69" s="178">
        <f t="shared" si="9"/>
        <v>45072</v>
      </c>
      <c r="N69" s="178">
        <f t="shared" si="9"/>
        <v>45072</v>
      </c>
      <c r="O69" s="178">
        <f t="shared" si="9"/>
        <v>45072</v>
      </c>
      <c r="P69" s="178">
        <f t="shared" si="9"/>
        <v>540870</v>
      </c>
      <c r="Q69" s="178">
        <f t="shared" si="2"/>
        <v>51195</v>
      </c>
      <c r="R69" s="246">
        <f t="shared" si="3"/>
        <v>0.10454893551845612</v>
      </c>
    </row>
    <row r="70" spans="1:18" x14ac:dyDescent="0.25">
      <c r="A70" s="1"/>
      <c r="B70" s="5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 t="str">
        <f t="shared" si="2"/>
        <v/>
      </c>
      <c r="R70" s="246" t="str">
        <f t="shared" si="3"/>
        <v/>
      </c>
    </row>
    <row r="71" spans="1:18" x14ac:dyDescent="0.25">
      <c r="A71" s="1" t="s">
        <v>31</v>
      </c>
      <c r="B71" s="5" t="s">
        <v>32</v>
      </c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 t="str">
        <f t="shared" si="2"/>
        <v/>
      </c>
      <c r="R71" s="246" t="str">
        <f t="shared" si="3"/>
        <v/>
      </c>
    </row>
    <row r="72" spans="1:18" x14ac:dyDescent="0.25">
      <c r="A72" s="1" t="s">
        <v>33</v>
      </c>
      <c r="B72" s="5" t="s">
        <v>34</v>
      </c>
      <c r="C72" s="176">
        <v>0</v>
      </c>
      <c r="D72" s="176">
        <v>0</v>
      </c>
      <c r="E72" s="176">
        <v>0</v>
      </c>
      <c r="F72" s="176">
        <v>0</v>
      </c>
      <c r="G72" s="176">
        <v>0</v>
      </c>
      <c r="H72" s="176">
        <v>0</v>
      </c>
      <c r="I72" s="176">
        <v>0</v>
      </c>
      <c r="J72" s="176">
        <v>0</v>
      </c>
      <c r="K72" s="176">
        <v>0</v>
      </c>
      <c r="L72" s="176">
        <v>0</v>
      </c>
      <c r="M72" s="176">
        <v>0</v>
      </c>
      <c r="N72" s="176">
        <v>0</v>
      </c>
      <c r="O72" s="176">
        <v>0</v>
      </c>
      <c r="P72" s="176">
        <f>SUM(D72:O72)</f>
        <v>0</v>
      </c>
      <c r="Q72" s="176">
        <f t="shared" si="2"/>
        <v>0</v>
      </c>
      <c r="R72" s="246" t="str">
        <f t="shared" si="3"/>
        <v/>
      </c>
    </row>
    <row r="73" spans="1:18" x14ac:dyDescent="0.25">
      <c r="A73" s="1" t="s">
        <v>35</v>
      </c>
      <c r="B73" s="5" t="s">
        <v>36</v>
      </c>
      <c r="C73" s="176">
        <v>0</v>
      </c>
      <c r="D73" s="176">
        <v>0</v>
      </c>
      <c r="E73" s="176">
        <v>0</v>
      </c>
      <c r="F73" s="176">
        <v>0</v>
      </c>
      <c r="G73" s="176">
        <v>0</v>
      </c>
      <c r="H73" s="176">
        <v>0</v>
      </c>
      <c r="I73" s="176">
        <v>0</v>
      </c>
      <c r="J73" s="176">
        <v>0</v>
      </c>
      <c r="K73" s="176">
        <v>0</v>
      </c>
      <c r="L73" s="176">
        <v>0</v>
      </c>
      <c r="M73" s="176">
        <v>0</v>
      </c>
      <c r="N73" s="176">
        <v>0</v>
      </c>
      <c r="O73" s="176">
        <v>0</v>
      </c>
      <c r="P73" s="176">
        <f>SUM(D73:O73)</f>
        <v>0</v>
      </c>
      <c r="Q73" s="176">
        <f t="shared" si="2"/>
        <v>0</v>
      </c>
      <c r="R73" s="246" t="str">
        <f t="shared" si="3"/>
        <v/>
      </c>
    </row>
    <row r="74" spans="1:18" x14ac:dyDescent="0.25">
      <c r="A74" s="1"/>
      <c r="B74" s="5" t="s">
        <v>390</v>
      </c>
      <c r="C74" s="176">
        <v>0</v>
      </c>
      <c r="D74" s="176">
        <v>0</v>
      </c>
      <c r="E74" s="176">
        <v>0</v>
      </c>
      <c r="F74" s="176">
        <v>0</v>
      </c>
      <c r="G74" s="176">
        <v>0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0</v>
      </c>
      <c r="P74" s="176">
        <f>SUM(D74:O74)</f>
        <v>0</v>
      </c>
      <c r="Q74" s="176">
        <f t="shared" si="2"/>
        <v>0</v>
      </c>
      <c r="R74" s="246" t="str">
        <f t="shared" si="3"/>
        <v/>
      </c>
    </row>
    <row r="75" spans="1:18" x14ac:dyDescent="0.25">
      <c r="A75" s="1"/>
      <c r="B75" s="5" t="s">
        <v>389</v>
      </c>
      <c r="C75" s="176">
        <f t="shared" ref="C75:O75" si="10">$P$75/12</f>
        <v>0</v>
      </c>
      <c r="D75" s="181">
        <f t="shared" si="10"/>
        <v>0</v>
      </c>
      <c r="E75" s="181">
        <f t="shared" si="10"/>
        <v>0</v>
      </c>
      <c r="F75" s="181">
        <f t="shared" si="10"/>
        <v>0</v>
      </c>
      <c r="G75" s="181">
        <f t="shared" si="10"/>
        <v>0</v>
      </c>
      <c r="H75" s="181">
        <f t="shared" si="10"/>
        <v>0</v>
      </c>
      <c r="I75" s="181">
        <f t="shared" si="10"/>
        <v>0</v>
      </c>
      <c r="J75" s="181">
        <f t="shared" si="10"/>
        <v>0</v>
      </c>
      <c r="K75" s="181">
        <f t="shared" si="10"/>
        <v>0</v>
      </c>
      <c r="L75" s="181">
        <f t="shared" si="10"/>
        <v>0</v>
      </c>
      <c r="M75" s="181">
        <f t="shared" si="10"/>
        <v>0</v>
      </c>
      <c r="N75" s="181">
        <f t="shared" si="10"/>
        <v>0</v>
      </c>
      <c r="O75" s="181">
        <f t="shared" si="10"/>
        <v>0</v>
      </c>
      <c r="P75" s="176">
        <v>0</v>
      </c>
      <c r="Q75" s="176">
        <f t="shared" ref="Q75:Q142" si="11">IF(C75&lt;&gt;"",P75-C75,"")</f>
        <v>0</v>
      </c>
      <c r="R75" s="246" t="str">
        <f t="shared" ref="R75:R138" si="12">IF(C75&lt;&gt;0,Q75/C75,"")</f>
        <v/>
      </c>
    </row>
    <row r="76" spans="1:18" ht="15.75" thickBot="1" x14ac:dyDescent="0.3">
      <c r="A76" s="1"/>
      <c r="B76" s="5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 t="str">
        <f t="shared" si="11"/>
        <v/>
      </c>
      <c r="R76" s="246" t="str">
        <f t="shared" si="12"/>
        <v/>
      </c>
    </row>
    <row r="77" spans="1:18" s="121" customFormat="1" x14ac:dyDescent="0.25">
      <c r="A77" s="6" t="s">
        <v>37</v>
      </c>
      <c r="B77" s="3" t="s">
        <v>38</v>
      </c>
      <c r="C77" s="178">
        <f t="shared" ref="C77:O77" si="13">SUM(C72:C76)</f>
        <v>0</v>
      </c>
      <c r="D77" s="178">
        <f t="shared" si="13"/>
        <v>0</v>
      </c>
      <c r="E77" s="178">
        <f t="shared" si="13"/>
        <v>0</v>
      </c>
      <c r="F77" s="178">
        <f t="shared" si="13"/>
        <v>0</v>
      </c>
      <c r="G77" s="178">
        <f t="shared" si="13"/>
        <v>0</v>
      </c>
      <c r="H77" s="178">
        <f t="shared" si="13"/>
        <v>0</v>
      </c>
      <c r="I77" s="178">
        <f t="shared" si="13"/>
        <v>0</v>
      </c>
      <c r="J77" s="178">
        <f t="shared" si="13"/>
        <v>0</v>
      </c>
      <c r="K77" s="178">
        <f t="shared" si="13"/>
        <v>0</v>
      </c>
      <c r="L77" s="178">
        <f t="shared" si="13"/>
        <v>0</v>
      </c>
      <c r="M77" s="178">
        <f t="shared" si="13"/>
        <v>0</v>
      </c>
      <c r="N77" s="178">
        <f t="shared" si="13"/>
        <v>0</v>
      </c>
      <c r="O77" s="178">
        <f t="shared" si="13"/>
        <v>0</v>
      </c>
      <c r="P77" s="178">
        <f>SUM(P72:P76)</f>
        <v>0</v>
      </c>
      <c r="Q77" s="178">
        <f t="shared" si="11"/>
        <v>0</v>
      </c>
      <c r="R77" s="246" t="str">
        <f t="shared" si="12"/>
        <v/>
      </c>
    </row>
    <row r="78" spans="1:18" ht="15.75" thickBot="1" x14ac:dyDescent="0.3">
      <c r="A78" s="1"/>
      <c r="B78" s="5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 t="str">
        <f t="shared" si="11"/>
        <v/>
      </c>
      <c r="R78" s="246" t="str">
        <f t="shared" si="12"/>
        <v/>
      </c>
    </row>
    <row r="79" spans="1:18" s="121" customFormat="1" x14ac:dyDescent="0.25">
      <c r="A79" s="6" t="s">
        <v>39</v>
      </c>
      <c r="B79" s="3" t="s">
        <v>40</v>
      </c>
      <c r="C79" s="178">
        <f t="shared" ref="C79:P79" si="14">SUM(C77,C69,C28)</f>
        <v>1795667</v>
      </c>
      <c r="D79" s="178">
        <f t="shared" si="14"/>
        <v>158550.08000000002</v>
      </c>
      <c r="E79" s="178">
        <f t="shared" si="14"/>
        <v>158550.08000000002</v>
      </c>
      <c r="F79" s="178">
        <f t="shared" si="14"/>
        <v>159227.5</v>
      </c>
      <c r="G79" s="178">
        <f t="shared" si="14"/>
        <v>159801.5</v>
      </c>
      <c r="H79" s="178">
        <f t="shared" si="14"/>
        <v>159801.5</v>
      </c>
      <c r="I79" s="178">
        <f t="shared" si="14"/>
        <v>160526.5</v>
      </c>
      <c r="J79" s="178">
        <f t="shared" si="14"/>
        <v>160526.5</v>
      </c>
      <c r="K79" s="178">
        <f t="shared" si="14"/>
        <v>161223.16</v>
      </c>
      <c r="L79" s="178">
        <f t="shared" si="14"/>
        <v>161223.16</v>
      </c>
      <c r="M79" s="178">
        <f t="shared" si="14"/>
        <v>161223.16</v>
      </c>
      <c r="N79" s="178">
        <f t="shared" si="14"/>
        <v>161368</v>
      </c>
      <c r="O79" s="178">
        <f t="shared" si="14"/>
        <v>165368</v>
      </c>
      <c r="P79" s="178">
        <f t="shared" si="14"/>
        <v>1927395.14</v>
      </c>
      <c r="Q79" s="178">
        <f t="shared" si="11"/>
        <v>131728.1399999999</v>
      </c>
      <c r="R79" s="246">
        <f t="shared" si="12"/>
        <v>7.3358891152980985E-2</v>
      </c>
    </row>
    <row r="80" spans="1:18" x14ac:dyDescent="0.25">
      <c r="A80" s="1"/>
      <c r="B80" s="5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 t="str">
        <f t="shared" si="11"/>
        <v/>
      </c>
      <c r="R80" s="246" t="str">
        <f t="shared" si="12"/>
        <v/>
      </c>
    </row>
    <row r="81" spans="1:24" x14ac:dyDescent="0.25">
      <c r="A81" s="1" t="s">
        <v>41</v>
      </c>
      <c r="B81" s="5" t="s">
        <v>42</v>
      </c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 t="str">
        <f t="shared" si="11"/>
        <v/>
      </c>
      <c r="R81" s="246" t="str">
        <f t="shared" si="12"/>
        <v/>
      </c>
    </row>
    <row r="82" spans="1:24" x14ac:dyDescent="0.25">
      <c r="A82" s="1" t="s">
        <v>43</v>
      </c>
      <c r="B82" s="5" t="s">
        <v>44</v>
      </c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 t="str">
        <f t="shared" si="11"/>
        <v/>
      </c>
      <c r="R82" s="246" t="str">
        <f t="shared" si="12"/>
        <v/>
      </c>
    </row>
    <row r="83" spans="1:24" x14ac:dyDescent="0.25">
      <c r="A83" s="1" t="s">
        <v>196</v>
      </c>
      <c r="B83" s="5" t="s">
        <v>195</v>
      </c>
      <c r="C83" s="177">
        <v>14931</v>
      </c>
      <c r="D83" s="177">
        <v>1244</v>
      </c>
      <c r="E83" s="177">
        <v>1244</v>
      </c>
      <c r="F83" s="177">
        <v>1244</v>
      </c>
      <c r="G83" s="177">
        <v>5244</v>
      </c>
      <c r="H83" s="177">
        <v>1244</v>
      </c>
      <c r="I83" s="177">
        <v>1244</v>
      </c>
      <c r="J83" s="177">
        <v>1244</v>
      </c>
      <c r="K83" s="177">
        <v>1244</v>
      </c>
      <c r="L83" s="177">
        <v>1244</v>
      </c>
      <c r="M83" s="177">
        <v>1244</v>
      </c>
      <c r="N83" s="177">
        <v>1244</v>
      </c>
      <c r="O83" s="177">
        <v>1244</v>
      </c>
      <c r="P83" s="176">
        <f>SUM(D83:O83)</f>
        <v>18928</v>
      </c>
      <c r="Q83" s="176">
        <f t="shared" si="11"/>
        <v>3997</v>
      </c>
      <c r="R83" s="246">
        <f t="shared" si="12"/>
        <v>0.2676980778246601</v>
      </c>
      <c r="S83" t="s">
        <v>535</v>
      </c>
    </row>
    <row r="84" spans="1:24" x14ac:dyDescent="0.25">
      <c r="A84" s="1" t="s">
        <v>45</v>
      </c>
      <c r="B84" s="5" t="s">
        <v>46</v>
      </c>
      <c r="C84" s="177">
        <v>16514</v>
      </c>
      <c r="D84" s="177">
        <v>1356</v>
      </c>
      <c r="E84" s="177">
        <v>1356</v>
      </c>
      <c r="F84" s="177">
        <v>1356</v>
      </c>
      <c r="G84" s="177">
        <v>2356</v>
      </c>
      <c r="H84" s="177">
        <v>1356</v>
      </c>
      <c r="I84" s="177">
        <v>1356</v>
      </c>
      <c r="J84" s="177">
        <v>1356</v>
      </c>
      <c r="K84" s="177">
        <v>1356</v>
      </c>
      <c r="L84" s="177">
        <v>2356</v>
      </c>
      <c r="M84" s="177">
        <v>1356</v>
      </c>
      <c r="N84" s="177">
        <v>1356</v>
      </c>
      <c r="O84" s="177">
        <v>1356</v>
      </c>
      <c r="P84" s="176">
        <f>SUM(D84:O84)</f>
        <v>18272</v>
      </c>
      <c r="Q84" s="176">
        <f t="shared" si="11"/>
        <v>1758</v>
      </c>
      <c r="R84" s="246">
        <f t="shared" si="12"/>
        <v>0.10645512898147026</v>
      </c>
      <c r="S84" t="s">
        <v>536</v>
      </c>
    </row>
    <row r="85" spans="1:24" x14ac:dyDescent="0.25">
      <c r="A85" s="218" t="s">
        <v>595</v>
      </c>
      <c r="B85" s="5" t="s">
        <v>596</v>
      </c>
      <c r="C85" s="177">
        <v>0</v>
      </c>
      <c r="D85" s="177">
        <f>$P$85/12</f>
        <v>500</v>
      </c>
      <c r="E85" s="177">
        <f t="shared" ref="E85:O85" si="15">$P$85/12</f>
        <v>500</v>
      </c>
      <c r="F85" s="177">
        <f t="shared" si="15"/>
        <v>500</v>
      </c>
      <c r="G85" s="177">
        <f t="shared" si="15"/>
        <v>500</v>
      </c>
      <c r="H85" s="177">
        <f t="shared" si="15"/>
        <v>500</v>
      </c>
      <c r="I85" s="177">
        <f t="shared" si="15"/>
        <v>500</v>
      </c>
      <c r="J85" s="177">
        <f t="shared" si="15"/>
        <v>500</v>
      </c>
      <c r="K85" s="177">
        <f t="shared" si="15"/>
        <v>500</v>
      </c>
      <c r="L85" s="177">
        <f t="shared" si="15"/>
        <v>500</v>
      </c>
      <c r="M85" s="177">
        <f t="shared" si="15"/>
        <v>500</v>
      </c>
      <c r="N85" s="177">
        <f t="shared" si="15"/>
        <v>500</v>
      </c>
      <c r="O85" s="177">
        <f t="shared" si="15"/>
        <v>500</v>
      </c>
      <c r="P85" s="176">
        <v>6000</v>
      </c>
      <c r="Q85" s="176">
        <f t="shared" si="11"/>
        <v>6000</v>
      </c>
      <c r="R85" s="246" t="str">
        <f t="shared" si="12"/>
        <v/>
      </c>
    </row>
    <row r="86" spans="1:24" x14ac:dyDescent="0.25">
      <c r="A86" s="1" t="s">
        <v>47</v>
      </c>
      <c r="B86" s="5" t="s">
        <v>48</v>
      </c>
      <c r="C86" s="177">
        <v>6089</v>
      </c>
      <c r="D86" s="177">
        <f t="shared" ref="D86:O92" si="16">$P86/12</f>
        <v>500</v>
      </c>
      <c r="E86" s="177">
        <f t="shared" si="16"/>
        <v>500</v>
      </c>
      <c r="F86" s="177">
        <f t="shared" si="16"/>
        <v>500</v>
      </c>
      <c r="G86" s="177">
        <f t="shared" si="16"/>
        <v>500</v>
      </c>
      <c r="H86" s="177">
        <f t="shared" si="16"/>
        <v>500</v>
      </c>
      <c r="I86" s="177">
        <f t="shared" si="16"/>
        <v>500</v>
      </c>
      <c r="J86" s="177">
        <f t="shared" si="16"/>
        <v>500</v>
      </c>
      <c r="K86" s="177">
        <f t="shared" si="16"/>
        <v>500</v>
      </c>
      <c r="L86" s="177">
        <f t="shared" si="16"/>
        <v>500</v>
      </c>
      <c r="M86" s="177">
        <f t="shared" si="16"/>
        <v>500</v>
      </c>
      <c r="N86" s="177">
        <f t="shared" si="16"/>
        <v>500</v>
      </c>
      <c r="O86" s="177">
        <f t="shared" si="16"/>
        <v>500</v>
      </c>
      <c r="P86" s="176">
        <v>6000</v>
      </c>
      <c r="Q86" s="176">
        <f t="shared" si="11"/>
        <v>-89</v>
      </c>
      <c r="R86" s="246">
        <f t="shared" si="12"/>
        <v>-1.4616521596321236E-2</v>
      </c>
    </row>
    <row r="87" spans="1:24" x14ac:dyDescent="0.25">
      <c r="A87" s="7" t="s">
        <v>221</v>
      </c>
      <c r="B87" s="5" t="s">
        <v>440</v>
      </c>
      <c r="C87" s="177">
        <v>599</v>
      </c>
      <c r="D87" s="177">
        <f t="shared" si="16"/>
        <v>54.166666666666664</v>
      </c>
      <c r="E87" s="177">
        <f t="shared" si="16"/>
        <v>54.166666666666664</v>
      </c>
      <c r="F87" s="177">
        <f t="shared" si="16"/>
        <v>54.166666666666664</v>
      </c>
      <c r="G87" s="177">
        <f t="shared" si="16"/>
        <v>54.166666666666664</v>
      </c>
      <c r="H87" s="177">
        <f t="shared" si="16"/>
        <v>54.166666666666664</v>
      </c>
      <c r="I87" s="177">
        <f t="shared" si="16"/>
        <v>54.166666666666664</v>
      </c>
      <c r="J87" s="177">
        <f t="shared" si="16"/>
        <v>54.166666666666664</v>
      </c>
      <c r="K87" s="177">
        <f t="shared" si="16"/>
        <v>54.166666666666664</v>
      </c>
      <c r="L87" s="177">
        <f t="shared" si="16"/>
        <v>54.166666666666664</v>
      </c>
      <c r="M87" s="177">
        <f t="shared" si="16"/>
        <v>54.166666666666664</v>
      </c>
      <c r="N87" s="177">
        <f t="shared" si="16"/>
        <v>54.166666666666664</v>
      </c>
      <c r="O87" s="177">
        <f t="shared" si="16"/>
        <v>54.166666666666664</v>
      </c>
      <c r="P87" s="176">
        <v>650</v>
      </c>
      <c r="Q87" s="176">
        <f t="shared" si="11"/>
        <v>51</v>
      </c>
      <c r="R87" s="246">
        <f t="shared" si="12"/>
        <v>8.5141903171953262E-2</v>
      </c>
    </row>
    <row r="88" spans="1:24" x14ac:dyDescent="0.25">
      <c r="A88" s="123" t="s">
        <v>223</v>
      </c>
      <c r="B88" s="5" t="s">
        <v>533</v>
      </c>
      <c r="C88" s="177">
        <v>1821</v>
      </c>
      <c r="D88" s="177">
        <v>0</v>
      </c>
      <c r="E88" s="177">
        <v>0</v>
      </c>
      <c r="F88" s="177">
        <v>0</v>
      </c>
      <c r="G88" s="177">
        <v>0</v>
      </c>
      <c r="H88" s="177">
        <v>0</v>
      </c>
      <c r="I88" s="177">
        <v>2000</v>
      </c>
      <c r="J88" s="177">
        <v>0</v>
      </c>
      <c r="K88" s="177">
        <v>0</v>
      </c>
      <c r="L88" s="177">
        <v>0</v>
      </c>
      <c r="M88" s="177">
        <v>150</v>
      </c>
      <c r="N88" s="177">
        <v>0</v>
      </c>
      <c r="O88" s="177">
        <v>0</v>
      </c>
      <c r="P88" s="176">
        <f>SUM(D88:O88)</f>
        <v>2150</v>
      </c>
      <c r="Q88" s="176">
        <f t="shared" si="11"/>
        <v>329</v>
      </c>
      <c r="R88" s="246">
        <f t="shared" si="12"/>
        <v>0.18066996155958265</v>
      </c>
      <c r="S88" t="s">
        <v>537</v>
      </c>
    </row>
    <row r="89" spans="1:24" x14ac:dyDescent="0.25">
      <c r="A89" s="1" t="s">
        <v>225</v>
      </c>
      <c r="B89" s="5" t="s">
        <v>385</v>
      </c>
      <c r="C89" s="177">
        <v>4872</v>
      </c>
      <c r="D89" s="177">
        <f t="shared" si="16"/>
        <v>583.33333333333337</v>
      </c>
      <c r="E89" s="177">
        <f t="shared" si="16"/>
        <v>583.33333333333337</v>
      </c>
      <c r="F89" s="177">
        <f t="shared" si="16"/>
        <v>583.33333333333337</v>
      </c>
      <c r="G89" s="177">
        <f t="shared" si="16"/>
        <v>583.33333333333337</v>
      </c>
      <c r="H89" s="177">
        <f t="shared" si="16"/>
        <v>583.33333333333337</v>
      </c>
      <c r="I89" s="177">
        <f t="shared" si="16"/>
        <v>583.33333333333337</v>
      </c>
      <c r="J89" s="177">
        <f t="shared" si="16"/>
        <v>583.33333333333337</v>
      </c>
      <c r="K89" s="177">
        <f t="shared" si="16"/>
        <v>583.33333333333337</v>
      </c>
      <c r="L89" s="177">
        <f t="shared" si="16"/>
        <v>583.33333333333337</v>
      </c>
      <c r="M89" s="177">
        <f t="shared" si="16"/>
        <v>583.33333333333337</v>
      </c>
      <c r="N89" s="177">
        <f t="shared" si="16"/>
        <v>583.33333333333337</v>
      </c>
      <c r="O89" s="177">
        <f t="shared" si="16"/>
        <v>583.33333333333337</v>
      </c>
      <c r="P89" s="176">
        <v>7000</v>
      </c>
      <c r="Q89" s="176">
        <f t="shared" si="11"/>
        <v>2128</v>
      </c>
      <c r="R89" s="246">
        <f t="shared" si="12"/>
        <v>0.43678160919540232</v>
      </c>
      <c r="S89" t="s">
        <v>597</v>
      </c>
    </row>
    <row r="90" spans="1:24" x14ac:dyDescent="0.25">
      <c r="A90" s="1" t="s">
        <v>49</v>
      </c>
      <c r="B90" s="5" t="s">
        <v>50</v>
      </c>
      <c r="C90" s="177">
        <v>23347</v>
      </c>
      <c r="D90" s="177">
        <v>1916</v>
      </c>
      <c r="E90" s="177">
        <v>1916</v>
      </c>
      <c r="F90" s="177">
        <v>1916</v>
      </c>
      <c r="G90" s="177">
        <v>1916</v>
      </c>
      <c r="H90" s="177">
        <v>1916</v>
      </c>
      <c r="I90" s="177">
        <v>1916</v>
      </c>
      <c r="J90" s="177">
        <v>1916</v>
      </c>
      <c r="K90" s="177">
        <v>1916</v>
      </c>
      <c r="L90" s="177">
        <v>1916</v>
      </c>
      <c r="M90" s="177">
        <v>1916</v>
      </c>
      <c r="N90" s="177">
        <v>2250</v>
      </c>
      <c r="O90" s="177">
        <v>2250</v>
      </c>
      <c r="P90" s="176">
        <f>SUM(D90:O90)</f>
        <v>23660</v>
      </c>
      <c r="Q90" s="176">
        <f t="shared" si="11"/>
        <v>313</v>
      </c>
      <c r="R90" s="246">
        <f t="shared" si="12"/>
        <v>1.3406433374737653E-2</v>
      </c>
      <c r="S90" t="s">
        <v>538</v>
      </c>
    </row>
    <row r="91" spans="1:24" x14ac:dyDescent="0.25">
      <c r="A91" s="191" t="s">
        <v>228</v>
      </c>
      <c r="B91" s="5" t="s">
        <v>561</v>
      </c>
      <c r="C91" s="177">
        <v>10717</v>
      </c>
      <c r="D91" s="177">
        <v>1023</v>
      </c>
      <c r="E91" s="177">
        <v>1023</v>
      </c>
      <c r="F91" s="177">
        <v>1023</v>
      </c>
      <c r="G91" s="177">
        <v>1023</v>
      </c>
      <c r="H91" s="177">
        <v>1023</v>
      </c>
      <c r="I91" s="177">
        <v>1023</v>
      </c>
      <c r="J91" s="177">
        <v>1023</v>
      </c>
      <c r="K91" s="177">
        <v>1023</v>
      </c>
      <c r="L91" s="177">
        <v>1023</v>
      </c>
      <c r="M91" s="177">
        <v>1023</v>
      </c>
      <c r="N91" s="177">
        <v>1023</v>
      </c>
      <c r="O91" s="177">
        <v>1023</v>
      </c>
      <c r="P91" s="176">
        <f>SUM(D91:O91)</f>
        <v>12276</v>
      </c>
      <c r="Q91" s="176">
        <f t="shared" si="11"/>
        <v>1559</v>
      </c>
      <c r="R91" s="246">
        <f t="shared" si="12"/>
        <v>0.1454698143137072</v>
      </c>
      <c r="S91" t="s">
        <v>603</v>
      </c>
    </row>
    <row r="92" spans="1:24" x14ac:dyDescent="0.25">
      <c r="A92" s="1" t="s">
        <v>194</v>
      </c>
      <c r="B92" s="5" t="s">
        <v>193</v>
      </c>
      <c r="C92" s="177">
        <v>1218</v>
      </c>
      <c r="D92" s="177">
        <f t="shared" si="16"/>
        <v>16.666666666666668</v>
      </c>
      <c r="E92" s="177">
        <f t="shared" si="16"/>
        <v>16.666666666666668</v>
      </c>
      <c r="F92" s="177">
        <f t="shared" si="16"/>
        <v>16.666666666666668</v>
      </c>
      <c r="G92" s="177">
        <f t="shared" si="16"/>
        <v>16.666666666666668</v>
      </c>
      <c r="H92" s="177">
        <f t="shared" si="16"/>
        <v>16.666666666666668</v>
      </c>
      <c r="I92" s="177">
        <f t="shared" si="16"/>
        <v>16.666666666666668</v>
      </c>
      <c r="J92" s="177">
        <f t="shared" si="16"/>
        <v>16.666666666666668</v>
      </c>
      <c r="K92" s="177">
        <f t="shared" si="16"/>
        <v>16.666666666666668</v>
      </c>
      <c r="L92" s="177">
        <f t="shared" si="16"/>
        <v>16.666666666666668</v>
      </c>
      <c r="M92" s="177">
        <f t="shared" si="16"/>
        <v>16.666666666666668</v>
      </c>
      <c r="N92" s="177">
        <f t="shared" si="16"/>
        <v>16.666666666666668</v>
      </c>
      <c r="O92" s="177">
        <f t="shared" si="16"/>
        <v>16.666666666666668</v>
      </c>
      <c r="P92" s="176">
        <v>200</v>
      </c>
      <c r="Q92" s="176">
        <f t="shared" si="11"/>
        <v>-1018</v>
      </c>
      <c r="R92" s="246">
        <f t="shared" si="12"/>
        <v>-0.83579638752052543</v>
      </c>
    </row>
    <row r="93" spans="1:24" ht="30" x14ac:dyDescent="0.25">
      <c r="A93" s="1" t="s">
        <v>51</v>
      </c>
      <c r="B93" s="5" t="s">
        <v>52</v>
      </c>
      <c r="C93" s="177">
        <v>7780</v>
      </c>
      <c r="D93" s="177">
        <v>100</v>
      </c>
      <c r="E93" s="177">
        <v>480</v>
      </c>
      <c r="F93" s="177">
        <v>1620</v>
      </c>
      <c r="G93" s="177">
        <v>100</v>
      </c>
      <c r="H93" s="177">
        <v>240</v>
      </c>
      <c r="I93" s="177">
        <v>1620</v>
      </c>
      <c r="J93" s="177">
        <v>100</v>
      </c>
      <c r="K93" s="177">
        <v>240</v>
      </c>
      <c r="L93" s="177">
        <v>1620</v>
      </c>
      <c r="M93" s="177">
        <v>100</v>
      </c>
      <c r="N93" s="177">
        <v>240</v>
      </c>
      <c r="O93" s="177">
        <v>1620</v>
      </c>
      <c r="P93" s="176">
        <f>SUM(D93:O93)</f>
        <v>8080</v>
      </c>
      <c r="Q93" s="176">
        <f t="shared" si="11"/>
        <v>300</v>
      </c>
      <c r="R93" s="246">
        <f t="shared" si="12"/>
        <v>3.8560411311053984E-2</v>
      </c>
      <c r="S93" s="219" t="s">
        <v>539</v>
      </c>
    </row>
    <row r="94" spans="1:24" x14ac:dyDescent="0.25">
      <c r="A94" s="1" t="s">
        <v>53</v>
      </c>
      <c r="B94" s="5" t="s">
        <v>54</v>
      </c>
      <c r="C94" s="177">
        <v>38600</v>
      </c>
      <c r="D94" s="177">
        <v>0</v>
      </c>
      <c r="E94" s="177">
        <v>0</v>
      </c>
      <c r="F94" s="177">
        <f>10161.55*1.05</f>
        <v>10669.627500000001</v>
      </c>
      <c r="G94" s="177">
        <v>0</v>
      </c>
      <c r="H94" s="177">
        <v>0</v>
      </c>
      <c r="I94" s="177">
        <f>14039.93*1.05</f>
        <v>14741.926500000001</v>
      </c>
      <c r="J94" s="177">
        <v>0</v>
      </c>
      <c r="K94" s="177">
        <f>10161.55*1.05</f>
        <v>10669.627500000001</v>
      </c>
      <c r="L94" s="177">
        <v>0</v>
      </c>
      <c r="M94" s="177">
        <v>0</v>
      </c>
      <c r="N94" s="177">
        <f>K94</f>
        <v>10669.627500000001</v>
      </c>
      <c r="O94" s="177">
        <v>0</v>
      </c>
      <c r="P94" s="176">
        <f>SUM(D94:O94)</f>
        <v>46750.809000000008</v>
      </c>
      <c r="Q94" s="176">
        <f t="shared" si="11"/>
        <v>8150.8090000000084</v>
      </c>
      <c r="R94" s="246">
        <f t="shared" si="12"/>
        <v>0.21116085492228001</v>
      </c>
      <c r="S94" t="s">
        <v>600</v>
      </c>
    </row>
    <row r="95" spans="1:24" x14ac:dyDescent="0.25">
      <c r="A95" s="1" t="s">
        <v>55</v>
      </c>
      <c r="B95" s="5" t="s">
        <v>56</v>
      </c>
      <c r="C95" s="177">
        <v>13518</v>
      </c>
      <c r="D95" s="177">
        <f t="shared" ref="D95:O95" si="17">$P95/12</f>
        <v>1178.3333333333333</v>
      </c>
      <c r="E95" s="177">
        <f t="shared" si="17"/>
        <v>1178.3333333333333</v>
      </c>
      <c r="F95" s="177">
        <f t="shared" si="17"/>
        <v>1178.3333333333333</v>
      </c>
      <c r="G95" s="177">
        <f t="shared" si="17"/>
        <v>1178.3333333333333</v>
      </c>
      <c r="H95" s="177">
        <f t="shared" si="17"/>
        <v>1178.3333333333333</v>
      </c>
      <c r="I95" s="177">
        <f t="shared" si="17"/>
        <v>1178.3333333333333</v>
      </c>
      <c r="J95" s="177">
        <f t="shared" si="17"/>
        <v>1178.3333333333333</v>
      </c>
      <c r="K95" s="177">
        <f t="shared" si="17"/>
        <v>1178.3333333333333</v>
      </c>
      <c r="L95" s="177">
        <f t="shared" si="17"/>
        <v>1178.3333333333333</v>
      </c>
      <c r="M95" s="177">
        <f t="shared" si="17"/>
        <v>1178.3333333333333</v>
      </c>
      <c r="N95" s="177">
        <f t="shared" si="17"/>
        <v>1178.3333333333333</v>
      </c>
      <c r="O95" s="177">
        <f t="shared" si="17"/>
        <v>1178.3333333333333</v>
      </c>
      <c r="P95" s="176">
        <v>14140</v>
      </c>
      <c r="Q95" s="176">
        <f t="shared" si="11"/>
        <v>622</v>
      </c>
      <c r="R95" s="246">
        <f t="shared" si="12"/>
        <v>4.6012723775706463E-2</v>
      </c>
    </row>
    <row r="96" spans="1:24" x14ac:dyDescent="0.25">
      <c r="A96" s="1" t="s">
        <v>57</v>
      </c>
      <c r="B96" s="5" t="s">
        <v>58</v>
      </c>
      <c r="C96" s="177">
        <v>28400</v>
      </c>
      <c r="D96" s="177">
        <v>8000</v>
      </c>
      <c r="E96" s="177">
        <v>0</v>
      </c>
      <c r="F96" s="177">
        <v>8000</v>
      </c>
      <c r="G96" s="177">
        <v>0</v>
      </c>
      <c r="H96" s="177">
        <v>0</v>
      </c>
      <c r="I96" s="177">
        <v>8000</v>
      </c>
      <c r="J96" s="177">
        <v>0</v>
      </c>
      <c r="K96" s="177">
        <v>0</v>
      </c>
      <c r="L96" s="177">
        <v>8000</v>
      </c>
      <c r="M96" s="177">
        <v>0</v>
      </c>
      <c r="N96" s="177">
        <v>0</v>
      </c>
      <c r="O96" s="177">
        <v>0</v>
      </c>
      <c r="P96" s="176">
        <f>SUM(D96:O96)</f>
        <v>32000</v>
      </c>
      <c r="Q96" s="176">
        <f t="shared" si="11"/>
        <v>3600</v>
      </c>
      <c r="R96" s="246">
        <f t="shared" si="12"/>
        <v>0.12676056338028169</v>
      </c>
      <c r="W96">
        <v>2015</v>
      </c>
      <c r="X96">
        <v>41169.160000000003</v>
      </c>
    </row>
    <row r="97" spans="1:25" ht="15.75" thickBot="1" x14ac:dyDescent="0.3">
      <c r="A97" s="1" t="s">
        <v>233</v>
      </c>
      <c r="B97" s="5" t="s">
        <v>384</v>
      </c>
      <c r="C97" s="177">
        <v>89783</v>
      </c>
      <c r="D97" s="177">
        <f t="shared" ref="D97:O97" si="18">$P97/12</f>
        <v>7833.333333333333</v>
      </c>
      <c r="E97" s="177">
        <f t="shared" si="18"/>
        <v>7833.333333333333</v>
      </c>
      <c r="F97" s="177">
        <f t="shared" si="18"/>
        <v>7833.333333333333</v>
      </c>
      <c r="G97" s="177">
        <f t="shared" si="18"/>
        <v>7833.333333333333</v>
      </c>
      <c r="H97" s="177">
        <f t="shared" si="18"/>
        <v>7833.333333333333</v>
      </c>
      <c r="I97" s="177">
        <f t="shared" si="18"/>
        <v>7833.333333333333</v>
      </c>
      <c r="J97" s="177">
        <f t="shared" si="18"/>
        <v>7833.333333333333</v>
      </c>
      <c r="K97" s="177">
        <f t="shared" si="18"/>
        <v>7833.333333333333</v>
      </c>
      <c r="L97" s="177">
        <f t="shared" si="18"/>
        <v>7833.333333333333</v>
      </c>
      <c r="M97" s="177">
        <f t="shared" si="18"/>
        <v>7833.333333333333</v>
      </c>
      <c r="N97" s="177">
        <f t="shared" si="18"/>
        <v>7833.333333333333</v>
      </c>
      <c r="O97" s="177">
        <f t="shared" si="18"/>
        <v>7833.333333333333</v>
      </c>
      <c r="P97" s="176">
        <v>94000</v>
      </c>
      <c r="Q97" s="176">
        <f t="shared" si="11"/>
        <v>4217</v>
      </c>
      <c r="R97" s="246">
        <f t="shared" si="12"/>
        <v>4.6968802557276992E-2</v>
      </c>
      <c r="W97">
        <v>2016</v>
      </c>
      <c r="X97">
        <v>44524.58</v>
      </c>
      <c r="Y97" s="220">
        <f>X97/X96-1</f>
        <v>8.150324174697765E-2</v>
      </c>
    </row>
    <row r="98" spans="1:25" x14ac:dyDescent="0.25">
      <c r="A98" s="1" t="s">
        <v>59</v>
      </c>
      <c r="B98" s="5" t="s">
        <v>60</v>
      </c>
      <c r="C98" s="178">
        <f>ROUND(SUM(C83:C97),0)</f>
        <v>258189</v>
      </c>
      <c r="D98" s="178">
        <f>ROUND(SUM(D83:D97),0)</f>
        <v>24305</v>
      </c>
      <c r="E98" s="178">
        <f t="shared" ref="E98:O98" si="19">ROUND(SUM(E83:E97),0)</f>
        <v>16685</v>
      </c>
      <c r="F98" s="178">
        <f t="shared" si="19"/>
        <v>36494</v>
      </c>
      <c r="G98" s="178">
        <f t="shared" si="19"/>
        <v>21305</v>
      </c>
      <c r="H98" s="178">
        <f t="shared" si="19"/>
        <v>16445</v>
      </c>
      <c r="I98" s="178">
        <f t="shared" si="19"/>
        <v>42567</v>
      </c>
      <c r="J98" s="178">
        <f t="shared" si="19"/>
        <v>16305</v>
      </c>
      <c r="K98" s="178">
        <f t="shared" si="19"/>
        <v>27114</v>
      </c>
      <c r="L98" s="178">
        <f t="shared" si="19"/>
        <v>26825</v>
      </c>
      <c r="M98" s="178">
        <f t="shared" si="19"/>
        <v>16455</v>
      </c>
      <c r="N98" s="178">
        <f t="shared" si="19"/>
        <v>27448</v>
      </c>
      <c r="O98" s="178">
        <f t="shared" si="19"/>
        <v>18159</v>
      </c>
      <c r="P98" s="178">
        <f>ROUND(SUM(P83:P97),0)</f>
        <v>290107</v>
      </c>
      <c r="Q98" s="178">
        <f t="shared" si="11"/>
        <v>31918</v>
      </c>
      <c r="R98" s="246">
        <f t="shared" si="12"/>
        <v>0.12362261753986421</v>
      </c>
    </row>
    <row r="99" spans="1:25" x14ac:dyDescent="0.25">
      <c r="A99" s="1"/>
      <c r="B99" s="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3"/>
      <c r="Q99" s="183" t="str">
        <f t="shared" si="11"/>
        <v/>
      </c>
      <c r="R99" s="246" t="str">
        <f t="shared" si="12"/>
        <v/>
      </c>
    </row>
    <row r="100" spans="1:25" x14ac:dyDescent="0.25">
      <c r="A100" s="1" t="s">
        <v>61</v>
      </c>
      <c r="B100" s="5" t="s">
        <v>62</v>
      </c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 t="str">
        <f t="shared" si="11"/>
        <v/>
      </c>
      <c r="R100" s="246" t="str">
        <f t="shared" si="12"/>
        <v/>
      </c>
    </row>
    <row r="101" spans="1:25" x14ac:dyDescent="0.25">
      <c r="A101" s="1" t="s">
        <v>63</v>
      </c>
      <c r="B101" s="5" t="s">
        <v>64</v>
      </c>
      <c r="C101" s="177">
        <f>O$101/12</f>
        <v>0</v>
      </c>
      <c r="D101" s="177">
        <f>P$101/12</f>
        <v>0</v>
      </c>
      <c r="E101" s="177">
        <f t="shared" ref="E101:O104" si="20">$P101/12</f>
        <v>0</v>
      </c>
      <c r="F101" s="177">
        <f t="shared" si="20"/>
        <v>0</v>
      </c>
      <c r="G101" s="177">
        <f t="shared" si="20"/>
        <v>0</v>
      </c>
      <c r="H101" s="177">
        <f t="shared" si="20"/>
        <v>0</v>
      </c>
      <c r="I101" s="177">
        <f t="shared" si="20"/>
        <v>0</v>
      </c>
      <c r="J101" s="177">
        <f t="shared" si="20"/>
        <v>0</v>
      </c>
      <c r="K101" s="177">
        <f t="shared" si="20"/>
        <v>0</v>
      </c>
      <c r="L101" s="177">
        <f t="shared" si="20"/>
        <v>0</v>
      </c>
      <c r="M101" s="177">
        <f t="shared" si="20"/>
        <v>0</v>
      </c>
      <c r="N101" s="177">
        <f t="shared" si="20"/>
        <v>0</v>
      </c>
      <c r="O101" s="177">
        <f t="shared" si="20"/>
        <v>0</v>
      </c>
      <c r="P101" s="176">
        <v>0</v>
      </c>
      <c r="Q101" s="176">
        <f t="shared" si="11"/>
        <v>0</v>
      </c>
      <c r="R101" s="246" t="str">
        <f t="shared" si="12"/>
        <v/>
      </c>
    </row>
    <row r="102" spans="1:25" x14ac:dyDescent="0.25">
      <c r="A102" s="1" t="s">
        <v>65</v>
      </c>
      <c r="B102" s="5" t="s">
        <v>66</v>
      </c>
      <c r="C102" s="177">
        <f t="shared" ref="C102:D104" si="21">$P102/12</f>
        <v>0</v>
      </c>
      <c r="D102" s="177">
        <f t="shared" si="21"/>
        <v>0</v>
      </c>
      <c r="E102" s="177">
        <f t="shared" si="20"/>
        <v>0</v>
      </c>
      <c r="F102" s="177">
        <f t="shared" si="20"/>
        <v>0</v>
      </c>
      <c r="G102" s="177">
        <f t="shared" si="20"/>
        <v>0</v>
      </c>
      <c r="H102" s="177">
        <f t="shared" si="20"/>
        <v>0</v>
      </c>
      <c r="I102" s="177">
        <f t="shared" si="20"/>
        <v>0</v>
      </c>
      <c r="J102" s="177">
        <f t="shared" si="20"/>
        <v>0</v>
      </c>
      <c r="K102" s="177">
        <f t="shared" si="20"/>
        <v>0</v>
      </c>
      <c r="L102" s="177">
        <f t="shared" si="20"/>
        <v>0</v>
      </c>
      <c r="M102" s="177">
        <f t="shared" si="20"/>
        <v>0</v>
      </c>
      <c r="N102" s="177">
        <f t="shared" si="20"/>
        <v>0</v>
      </c>
      <c r="O102" s="177">
        <f t="shared" si="20"/>
        <v>0</v>
      </c>
      <c r="P102" s="176">
        <f>_xlfn.IFNA(VLOOKUP(A102,'Op Budget 2016'!$C$15:$Q$53,15,FALSE),)</f>
        <v>0</v>
      </c>
      <c r="Q102" s="176">
        <f t="shared" si="11"/>
        <v>0</v>
      </c>
      <c r="R102" s="246" t="str">
        <f t="shared" si="12"/>
        <v/>
      </c>
    </row>
    <row r="103" spans="1:25" x14ac:dyDescent="0.25">
      <c r="A103" s="1" t="s">
        <v>67</v>
      </c>
      <c r="B103" s="5" t="s">
        <v>68</v>
      </c>
      <c r="C103" s="177">
        <f t="shared" si="21"/>
        <v>0</v>
      </c>
      <c r="D103" s="177">
        <f t="shared" si="21"/>
        <v>0</v>
      </c>
      <c r="E103" s="177">
        <f t="shared" si="20"/>
        <v>0</v>
      </c>
      <c r="F103" s="177">
        <f t="shared" si="20"/>
        <v>0</v>
      </c>
      <c r="G103" s="177">
        <f t="shared" si="20"/>
        <v>0</v>
      </c>
      <c r="H103" s="177">
        <f t="shared" si="20"/>
        <v>0</v>
      </c>
      <c r="I103" s="177">
        <f t="shared" si="20"/>
        <v>0</v>
      </c>
      <c r="J103" s="177">
        <f t="shared" si="20"/>
        <v>0</v>
      </c>
      <c r="K103" s="177">
        <f t="shared" si="20"/>
        <v>0</v>
      </c>
      <c r="L103" s="177">
        <f t="shared" si="20"/>
        <v>0</v>
      </c>
      <c r="M103" s="177">
        <f t="shared" si="20"/>
        <v>0</v>
      </c>
      <c r="N103" s="177">
        <f t="shared" si="20"/>
        <v>0</v>
      </c>
      <c r="O103" s="177">
        <f t="shared" si="20"/>
        <v>0</v>
      </c>
      <c r="P103" s="176">
        <f>_xlfn.IFNA(VLOOKUP(A103,'Op Budget 2016'!$C$15:$Q$53,15,FALSE),)</f>
        <v>0</v>
      </c>
      <c r="Q103" s="176">
        <f t="shared" si="11"/>
        <v>0</v>
      </c>
      <c r="R103" s="246" t="str">
        <f t="shared" si="12"/>
        <v/>
      </c>
    </row>
    <row r="104" spans="1:25" x14ac:dyDescent="0.25">
      <c r="A104" s="1" t="s">
        <v>69</v>
      </c>
      <c r="B104" s="5" t="s">
        <v>70</v>
      </c>
      <c r="C104" s="177">
        <f t="shared" si="21"/>
        <v>0</v>
      </c>
      <c r="D104" s="177">
        <f t="shared" si="21"/>
        <v>0</v>
      </c>
      <c r="E104" s="177">
        <f t="shared" si="20"/>
        <v>0</v>
      </c>
      <c r="F104" s="177">
        <f t="shared" si="20"/>
        <v>0</v>
      </c>
      <c r="G104" s="177">
        <f t="shared" si="20"/>
        <v>0</v>
      </c>
      <c r="H104" s="177">
        <f t="shared" si="20"/>
        <v>0</v>
      </c>
      <c r="I104" s="177">
        <f t="shared" si="20"/>
        <v>0</v>
      </c>
      <c r="J104" s="177">
        <f t="shared" si="20"/>
        <v>0</v>
      </c>
      <c r="K104" s="177">
        <f t="shared" si="20"/>
        <v>0</v>
      </c>
      <c r="L104" s="177">
        <f t="shared" si="20"/>
        <v>0</v>
      </c>
      <c r="M104" s="177">
        <f t="shared" si="20"/>
        <v>0</v>
      </c>
      <c r="N104" s="177">
        <f t="shared" si="20"/>
        <v>0</v>
      </c>
      <c r="O104" s="177">
        <f t="shared" si="20"/>
        <v>0</v>
      </c>
      <c r="P104" s="176">
        <f>_xlfn.IFNA(VLOOKUP(A104,'Op Budget 2016'!$C$15:$Q$53,15,FALSE),)</f>
        <v>0</v>
      </c>
      <c r="Q104" s="176">
        <f t="shared" si="11"/>
        <v>0</v>
      </c>
      <c r="R104" s="246" t="str">
        <f t="shared" si="12"/>
        <v/>
      </c>
    </row>
    <row r="105" spans="1:25" x14ac:dyDescent="0.25">
      <c r="A105" s="1" t="s">
        <v>71</v>
      </c>
      <c r="B105" s="5" t="s">
        <v>72</v>
      </c>
      <c r="C105" s="177">
        <v>322100</v>
      </c>
      <c r="D105" s="177">
        <v>82125</v>
      </c>
      <c r="E105" s="177">
        <v>0</v>
      </c>
      <c r="F105" s="177">
        <v>0</v>
      </c>
      <c r="G105" s="177">
        <v>82125</v>
      </c>
      <c r="H105" s="177">
        <v>0</v>
      </c>
      <c r="I105" s="177">
        <v>0</v>
      </c>
      <c r="J105" s="177">
        <v>82125</v>
      </c>
      <c r="K105" s="177">
        <v>0</v>
      </c>
      <c r="L105" s="177">
        <v>0</v>
      </c>
      <c r="M105" s="177">
        <v>82125</v>
      </c>
      <c r="N105" s="177">
        <v>0</v>
      </c>
      <c r="O105" s="177">
        <v>0</v>
      </c>
      <c r="P105" s="176">
        <f>SUM(D105:O105)</f>
        <v>328500</v>
      </c>
      <c r="Q105" s="176">
        <f t="shared" si="11"/>
        <v>6400</v>
      </c>
      <c r="R105" s="246">
        <f t="shared" si="12"/>
        <v>1.9869605712511642E-2</v>
      </c>
    </row>
    <row r="106" spans="1:25" x14ac:dyDescent="0.25">
      <c r="A106" s="1" t="s">
        <v>73</v>
      </c>
      <c r="B106" s="5" t="s">
        <v>74</v>
      </c>
      <c r="C106" s="177">
        <v>250</v>
      </c>
      <c r="D106" s="177">
        <v>0</v>
      </c>
      <c r="E106" s="177">
        <v>0</v>
      </c>
      <c r="F106" s="177">
        <v>0</v>
      </c>
      <c r="G106" s="177">
        <v>0</v>
      </c>
      <c r="H106" s="177">
        <v>300</v>
      </c>
      <c r="I106" s="177">
        <v>12000</v>
      </c>
      <c r="J106" s="177">
        <v>0</v>
      </c>
      <c r="K106" s="177">
        <v>0</v>
      </c>
      <c r="L106" s="177">
        <v>0</v>
      </c>
      <c r="M106" s="177">
        <v>0</v>
      </c>
      <c r="N106" s="177">
        <v>0</v>
      </c>
      <c r="O106" s="177">
        <v>0</v>
      </c>
      <c r="P106" s="176">
        <f>SUM(D106:O106)</f>
        <v>12300</v>
      </c>
      <c r="Q106" s="176">
        <f t="shared" si="11"/>
        <v>12050</v>
      </c>
      <c r="R106" s="246">
        <f t="shared" si="12"/>
        <v>48.2</v>
      </c>
      <c r="S106" t="s">
        <v>604</v>
      </c>
    </row>
    <row r="107" spans="1:25" x14ac:dyDescent="0.25">
      <c r="A107" s="1" t="s">
        <v>75</v>
      </c>
      <c r="B107" s="5" t="s">
        <v>76</v>
      </c>
      <c r="C107" s="177">
        <v>323</v>
      </c>
      <c r="D107" s="177">
        <v>0</v>
      </c>
      <c r="E107" s="177">
        <v>0</v>
      </c>
      <c r="F107" s="177">
        <f>P107/2</f>
        <v>250</v>
      </c>
      <c r="G107" s="177">
        <v>0</v>
      </c>
      <c r="H107" s="177">
        <v>0</v>
      </c>
      <c r="I107" s="177">
        <v>0</v>
      </c>
      <c r="J107" s="177">
        <v>0</v>
      </c>
      <c r="K107" s="177">
        <v>0</v>
      </c>
      <c r="L107" s="177">
        <f>P107/2</f>
        <v>250</v>
      </c>
      <c r="M107" s="177">
        <v>0</v>
      </c>
      <c r="N107" s="177">
        <v>0</v>
      </c>
      <c r="O107" s="177">
        <v>0</v>
      </c>
      <c r="P107" s="176">
        <v>500</v>
      </c>
      <c r="Q107" s="176">
        <f t="shared" si="11"/>
        <v>177</v>
      </c>
      <c r="R107" s="246">
        <f t="shared" si="12"/>
        <v>0.54798761609907121</v>
      </c>
    </row>
    <row r="108" spans="1:25" x14ac:dyDescent="0.25">
      <c r="A108" s="1" t="s">
        <v>192</v>
      </c>
      <c r="B108" s="5" t="s">
        <v>191</v>
      </c>
      <c r="C108" s="177">
        <f t="shared" ref="C108:O116" si="22">$P108/12</f>
        <v>0</v>
      </c>
      <c r="D108" s="177">
        <f t="shared" si="22"/>
        <v>0</v>
      </c>
      <c r="E108" s="177">
        <f t="shared" si="22"/>
        <v>0</v>
      </c>
      <c r="F108" s="177">
        <f t="shared" si="22"/>
        <v>0</v>
      </c>
      <c r="G108" s="177">
        <f t="shared" si="22"/>
        <v>0</v>
      </c>
      <c r="H108" s="177">
        <f t="shared" si="22"/>
        <v>0</v>
      </c>
      <c r="I108" s="177">
        <f t="shared" si="22"/>
        <v>0</v>
      </c>
      <c r="J108" s="177">
        <f t="shared" si="22"/>
        <v>0</v>
      </c>
      <c r="K108" s="177">
        <f t="shared" si="22"/>
        <v>0</v>
      </c>
      <c r="L108" s="177">
        <f t="shared" si="22"/>
        <v>0</v>
      </c>
      <c r="M108" s="177">
        <f t="shared" si="22"/>
        <v>0</v>
      </c>
      <c r="N108" s="177">
        <f t="shared" si="22"/>
        <v>0</v>
      </c>
      <c r="O108" s="177">
        <f t="shared" si="22"/>
        <v>0</v>
      </c>
      <c r="P108" s="176">
        <f>_xlfn.IFNA(VLOOKUP(A108,'Op Budget 2016'!$C$15:$Q$53,15,FALSE),)</f>
        <v>0</v>
      </c>
      <c r="Q108" s="176">
        <f t="shared" si="11"/>
        <v>0</v>
      </c>
      <c r="R108" s="246" t="str">
        <f t="shared" si="12"/>
        <v/>
      </c>
    </row>
    <row r="109" spans="1:25" x14ac:dyDescent="0.25">
      <c r="A109" s="1" t="s">
        <v>77</v>
      </c>
      <c r="B109" s="5" t="s">
        <v>78</v>
      </c>
      <c r="C109" s="177">
        <f t="shared" si="22"/>
        <v>0</v>
      </c>
      <c r="D109" s="177">
        <f t="shared" si="22"/>
        <v>0</v>
      </c>
      <c r="E109" s="177">
        <f t="shared" si="22"/>
        <v>0</v>
      </c>
      <c r="F109" s="177">
        <f t="shared" si="22"/>
        <v>0</v>
      </c>
      <c r="G109" s="177">
        <f t="shared" si="22"/>
        <v>0</v>
      </c>
      <c r="H109" s="177">
        <f t="shared" si="22"/>
        <v>0</v>
      </c>
      <c r="I109" s="177">
        <f t="shared" si="22"/>
        <v>0</v>
      </c>
      <c r="J109" s="177">
        <f t="shared" si="22"/>
        <v>0</v>
      </c>
      <c r="K109" s="177">
        <f t="shared" si="22"/>
        <v>0</v>
      </c>
      <c r="L109" s="177">
        <f t="shared" si="22"/>
        <v>0</v>
      </c>
      <c r="M109" s="177">
        <f t="shared" si="22"/>
        <v>0</v>
      </c>
      <c r="N109" s="177">
        <f t="shared" si="22"/>
        <v>0</v>
      </c>
      <c r="O109" s="177">
        <f t="shared" si="22"/>
        <v>0</v>
      </c>
      <c r="P109" s="176">
        <f>_xlfn.IFNA(VLOOKUP(A109,'Op Budget 2016'!$C$15:$Q$53,15,FALSE),)</f>
        <v>0</v>
      </c>
      <c r="Q109" s="176">
        <f t="shared" si="11"/>
        <v>0</v>
      </c>
      <c r="R109" s="246" t="str">
        <f t="shared" si="12"/>
        <v/>
      </c>
    </row>
    <row r="110" spans="1:25" x14ac:dyDescent="0.25">
      <c r="A110" s="123" t="s">
        <v>249</v>
      </c>
      <c r="B110" s="5" t="s">
        <v>534</v>
      </c>
      <c r="C110" s="177">
        <v>1726</v>
      </c>
      <c r="D110" s="177">
        <f t="shared" si="22"/>
        <v>175</v>
      </c>
      <c r="E110" s="177">
        <f t="shared" si="22"/>
        <v>175</v>
      </c>
      <c r="F110" s="177">
        <f t="shared" si="22"/>
        <v>175</v>
      </c>
      <c r="G110" s="177">
        <f t="shared" si="22"/>
        <v>175</v>
      </c>
      <c r="H110" s="177">
        <f t="shared" si="22"/>
        <v>175</v>
      </c>
      <c r="I110" s="177">
        <f t="shared" si="22"/>
        <v>175</v>
      </c>
      <c r="J110" s="177">
        <f t="shared" si="22"/>
        <v>175</v>
      </c>
      <c r="K110" s="177">
        <f t="shared" si="22"/>
        <v>175</v>
      </c>
      <c r="L110" s="177">
        <f t="shared" si="22"/>
        <v>175</v>
      </c>
      <c r="M110" s="177">
        <f t="shared" si="22"/>
        <v>175</v>
      </c>
      <c r="N110" s="177">
        <f t="shared" si="22"/>
        <v>175</v>
      </c>
      <c r="O110" s="177">
        <f t="shared" si="22"/>
        <v>175</v>
      </c>
      <c r="P110" s="176">
        <v>2100</v>
      </c>
      <c r="Q110" s="176">
        <f t="shared" si="11"/>
        <v>374</v>
      </c>
      <c r="R110" s="246">
        <f t="shared" si="12"/>
        <v>0.21668597914252608</v>
      </c>
      <c r="S110" t="s">
        <v>602</v>
      </c>
    </row>
    <row r="111" spans="1:25" x14ac:dyDescent="0.25">
      <c r="A111" s="1" t="s">
        <v>79</v>
      </c>
      <c r="B111" s="5" t="s">
        <v>80</v>
      </c>
      <c r="C111" s="177">
        <v>0</v>
      </c>
      <c r="D111" s="177">
        <f t="shared" si="22"/>
        <v>15</v>
      </c>
      <c r="E111" s="177">
        <f t="shared" si="22"/>
        <v>15</v>
      </c>
      <c r="F111" s="177">
        <f t="shared" si="22"/>
        <v>15</v>
      </c>
      <c r="G111" s="177">
        <f t="shared" si="22"/>
        <v>15</v>
      </c>
      <c r="H111" s="177">
        <f t="shared" si="22"/>
        <v>15</v>
      </c>
      <c r="I111" s="177">
        <f t="shared" si="22"/>
        <v>15</v>
      </c>
      <c r="J111" s="177">
        <f t="shared" si="22"/>
        <v>15</v>
      </c>
      <c r="K111" s="177">
        <f t="shared" si="22"/>
        <v>15</v>
      </c>
      <c r="L111" s="177">
        <f t="shared" si="22"/>
        <v>15</v>
      </c>
      <c r="M111" s="177">
        <f t="shared" si="22"/>
        <v>15</v>
      </c>
      <c r="N111" s="177">
        <f t="shared" si="22"/>
        <v>15</v>
      </c>
      <c r="O111" s="177">
        <f t="shared" si="22"/>
        <v>15</v>
      </c>
      <c r="P111" s="176">
        <v>180</v>
      </c>
      <c r="Q111" s="176">
        <f t="shared" si="11"/>
        <v>180</v>
      </c>
      <c r="R111" s="246" t="str">
        <f t="shared" si="12"/>
        <v/>
      </c>
    </row>
    <row r="112" spans="1:25" x14ac:dyDescent="0.25">
      <c r="A112" s="1" t="s">
        <v>81</v>
      </c>
      <c r="B112" s="5" t="s">
        <v>82</v>
      </c>
      <c r="C112" s="177">
        <v>0</v>
      </c>
      <c r="D112" s="177">
        <f t="shared" si="22"/>
        <v>0</v>
      </c>
      <c r="E112" s="177">
        <f t="shared" si="22"/>
        <v>0</v>
      </c>
      <c r="F112" s="177">
        <f t="shared" si="22"/>
        <v>0</v>
      </c>
      <c r="G112" s="177">
        <f t="shared" si="22"/>
        <v>0</v>
      </c>
      <c r="H112" s="177">
        <f t="shared" si="22"/>
        <v>0</v>
      </c>
      <c r="I112" s="177">
        <f t="shared" si="22"/>
        <v>0</v>
      </c>
      <c r="J112" s="177">
        <f t="shared" si="22"/>
        <v>0</v>
      </c>
      <c r="K112" s="177">
        <f t="shared" si="22"/>
        <v>0</v>
      </c>
      <c r="L112" s="177">
        <f t="shared" si="22"/>
        <v>0</v>
      </c>
      <c r="M112" s="177">
        <f t="shared" si="22"/>
        <v>0</v>
      </c>
      <c r="N112" s="177">
        <f t="shared" si="22"/>
        <v>0</v>
      </c>
      <c r="O112" s="177">
        <f t="shared" si="22"/>
        <v>0</v>
      </c>
      <c r="P112" s="176">
        <v>0</v>
      </c>
      <c r="Q112" s="176">
        <f t="shared" si="11"/>
        <v>0</v>
      </c>
      <c r="R112" s="246" t="str">
        <f t="shared" si="12"/>
        <v/>
      </c>
    </row>
    <row r="113" spans="1:24" x14ac:dyDescent="0.25">
      <c r="A113" s="1" t="s">
        <v>83</v>
      </c>
      <c r="B113" s="5" t="s">
        <v>84</v>
      </c>
      <c r="C113" s="177">
        <f t="shared" si="22"/>
        <v>0</v>
      </c>
      <c r="D113" s="177">
        <f t="shared" si="22"/>
        <v>0</v>
      </c>
      <c r="E113" s="177">
        <f t="shared" si="22"/>
        <v>0</v>
      </c>
      <c r="F113" s="177">
        <f t="shared" si="22"/>
        <v>0</v>
      </c>
      <c r="G113" s="177">
        <f t="shared" si="22"/>
        <v>0</v>
      </c>
      <c r="H113" s="177">
        <f t="shared" si="22"/>
        <v>0</v>
      </c>
      <c r="I113" s="177">
        <f t="shared" si="22"/>
        <v>0</v>
      </c>
      <c r="J113" s="177">
        <f t="shared" si="22"/>
        <v>0</v>
      </c>
      <c r="K113" s="177">
        <f t="shared" si="22"/>
        <v>0</v>
      </c>
      <c r="L113" s="177">
        <f t="shared" si="22"/>
        <v>0</v>
      </c>
      <c r="M113" s="177">
        <f t="shared" si="22"/>
        <v>0</v>
      </c>
      <c r="N113" s="177">
        <f t="shared" si="22"/>
        <v>0</v>
      </c>
      <c r="O113" s="177">
        <f t="shared" si="22"/>
        <v>0</v>
      </c>
      <c r="P113" s="176">
        <v>0</v>
      </c>
      <c r="Q113" s="176">
        <f t="shared" si="11"/>
        <v>0</v>
      </c>
      <c r="R113" s="246" t="str">
        <f t="shared" si="12"/>
        <v/>
      </c>
    </row>
    <row r="114" spans="1:24" x14ac:dyDescent="0.25">
      <c r="A114" s="1" t="s">
        <v>85</v>
      </c>
      <c r="B114" s="5" t="s">
        <v>86</v>
      </c>
      <c r="C114" s="177">
        <f t="shared" si="22"/>
        <v>0</v>
      </c>
      <c r="D114" s="177">
        <f t="shared" si="22"/>
        <v>0</v>
      </c>
      <c r="E114" s="177">
        <f t="shared" si="22"/>
        <v>0</v>
      </c>
      <c r="F114" s="177">
        <f t="shared" si="22"/>
        <v>0</v>
      </c>
      <c r="G114" s="177">
        <f t="shared" si="22"/>
        <v>0</v>
      </c>
      <c r="H114" s="177">
        <f t="shared" si="22"/>
        <v>0</v>
      </c>
      <c r="I114" s="177">
        <f t="shared" si="22"/>
        <v>0</v>
      </c>
      <c r="J114" s="177">
        <f t="shared" si="22"/>
        <v>0</v>
      </c>
      <c r="K114" s="177">
        <f t="shared" si="22"/>
        <v>0</v>
      </c>
      <c r="L114" s="177">
        <f t="shared" si="22"/>
        <v>0</v>
      </c>
      <c r="M114" s="177">
        <f t="shared" si="22"/>
        <v>0</v>
      </c>
      <c r="N114" s="177">
        <f t="shared" si="22"/>
        <v>0</v>
      </c>
      <c r="O114" s="177">
        <f t="shared" si="22"/>
        <v>0</v>
      </c>
      <c r="P114" s="176">
        <f>_xlfn.IFNA(VLOOKUP(A114,'Op Budget 2016'!$C$15:$Q$53,15,FALSE),)</f>
        <v>0</v>
      </c>
      <c r="Q114" s="176">
        <f t="shared" si="11"/>
        <v>0</v>
      </c>
      <c r="R114" s="246" t="str">
        <f t="shared" si="12"/>
        <v/>
      </c>
    </row>
    <row r="115" spans="1:24" x14ac:dyDescent="0.25">
      <c r="A115" s="1" t="s">
        <v>87</v>
      </c>
      <c r="B115" s="5" t="s">
        <v>88</v>
      </c>
      <c r="C115" s="177">
        <v>1827</v>
      </c>
      <c r="D115" s="177">
        <f t="shared" si="22"/>
        <v>679.16666666666663</v>
      </c>
      <c r="E115" s="177">
        <f t="shared" si="22"/>
        <v>679.16666666666663</v>
      </c>
      <c r="F115" s="177">
        <f t="shared" si="22"/>
        <v>679.16666666666663</v>
      </c>
      <c r="G115" s="177">
        <f t="shared" si="22"/>
        <v>679.16666666666663</v>
      </c>
      <c r="H115" s="177">
        <f t="shared" si="22"/>
        <v>679.16666666666663</v>
      </c>
      <c r="I115" s="177">
        <f t="shared" si="22"/>
        <v>679.16666666666663</v>
      </c>
      <c r="J115" s="177">
        <f t="shared" si="22"/>
        <v>679.16666666666663</v>
      </c>
      <c r="K115" s="177">
        <f t="shared" si="22"/>
        <v>679.16666666666663</v>
      </c>
      <c r="L115" s="177">
        <f t="shared" si="22"/>
        <v>679.16666666666663</v>
      </c>
      <c r="M115" s="177">
        <f t="shared" si="22"/>
        <v>679.16666666666663</v>
      </c>
      <c r="N115" s="177">
        <f t="shared" si="22"/>
        <v>679.16666666666663</v>
      </c>
      <c r="O115" s="177">
        <f t="shared" si="22"/>
        <v>679.16666666666663</v>
      </c>
      <c r="P115" s="176">
        <f>_xlfn.IFNA(VLOOKUP(A115,'Op Budget 2016'!$C$15:$Q$53,15,FALSE),)</f>
        <v>8150</v>
      </c>
      <c r="Q115" s="176">
        <f t="shared" si="11"/>
        <v>6323</v>
      </c>
      <c r="R115" s="246">
        <f t="shared" si="12"/>
        <v>3.4608648056923919</v>
      </c>
    </row>
    <row r="116" spans="1:24" x14ac:dyDescent="0.25">
      <c r="A116" s="1" t="s">
        <v>89</v>
      </c>
      <c r="B116" s="5" t="s">
        <v>90</v>
      </c>
      <c r="C116" s="177">
        <v>7200</v>
      </c>
      <c r="D116" s="177">
        <v>600</v>
      </c>
      <c r="E116" s="177">
        <f t="shared" si="22"/>
        <v>600</v>
      </c>
      <c r="F116" s="177">
        <f t="shared" si="22"/>
        <v>600</v>
      </c>
      <c r="G116" s="177">
        <f t="shared" si="22"/>
        <v>600</v>
      </c>
      <c r="H116" s="177">
        <f t="shared" si="22"/>
        <v>600</v>
      </c>
      <c r="I116" s="177">
        <f t="shared" si="22"/>
        <v>600</v>
      </c>
      <c r="J116" s="177">
        <f t="shared" si="22"/>
        <v>600</v>
      </c>
      <c r="K116" s="177">
        <f t="shared" si="22"/>
        <v>600</v>
      </c>
      <c r="L116" s="177">
        <f t="shared" si="22"/>
        <v>600</v>
      </c>
      <c r="M116" s="177">
        <f t="shared" si="22"/>
        <v>600</v>
      </c>
      <c r="N116" s="177">
        <f t="shared" si="22"/>
        <v>600</v>
      </c>
      <c r="O116" s="177">
        <f t="shared" si="22"/>
        <v>600</v>
      </c>
      <c r="P116" s="176">
        <v>7200</v>
      </c>
      <c r="Q116" s="176">
        <f t="shared" si="11"/>
        <v>0</v>
      </c>
      <c r="R116" s="246">
        <f t="shared" si="12"/>
        <v>0</v>
      </c>
    </row>
    <row r="117" spans="1:24" x14ac:dyDescent="0.25">
      <c r="A117" s="1" t="s">
        <v>91</v>
      </c>
      <c r="B117" s="5" t="s">
        <v>92</v>
      </c>
      <c r="C117" s="177">
        <v>0</v>
      </c>
      <c r="D117" s="177">
        <v>0</v>
      </c>
      <c r="E117" s="177">
        <v>0</v>
      </c>
      <c r="F117" s="177">
        <v>0</v>
      </c>
      <c r="G117" s="177">
        <v>0</v>
      </c>
      <c r="H117" s="177">
        <v>0</v>
      </c>
      <c r="I117" s="177">
        <v>0</v>
      </c>
      <c r="J117" s="177">
        <v>0</v>
      </c>
      <c r="K117" s="177">
        <v>0</v>
      </c>
      <c r="L117" s="177">
        <v>0</v>
      </c>
      <c r="M117" s="177">
        <v>0</v>
      </c>
      <c r="N117" s="177">
        <v>0</v>
      </c>
      <c r="O117" s="177">
        <v>0</v>
      </c>
      <c r="P117" s="176">
        <f>SUM(D117:O117)</f>
        <v>0</v>
      </c>
      <c r="Q117" s="176">
        <f t="shared" si="11"/>
        <v>0</v>
      </c>
      <c r="R117" s="246" t="str">
        <f t="shared" si="12"/>
        <v/>
      </c>
    </row>
    <row r="118" spans="1:24" ht="15.75" thickBot="1" x14ac:dyDescent="0.3">
      <c r="A118" s="1"/>
      <c r="B118" s="5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 t="str">
        <f t="shared" si="11"/>
        <v/>
      </c>
      <c r="R118" s="246" t="str">
        <f t="shared" si="12"/>
        <v/>
      </c>
    </row>
    <row r="119" spans="1:24" s="121" customFormat="1" x14ac:dyDescent="0.25">
      <c r="A119" s="6" t="s">
        <v>93</v>
      </c>
      <c r="B119" s="3" t="s">
        <v>94</v>
      </c>
      <c r="C119" s="178">
        <f t="shared" ref="C119" si="23">SUM(C101:C118)</f>
        <v>333426</v>
      </c>
      <c r="D119" s="178">
        <f t="shared" ref="D119:O119" si="24">SUM(D101:D118)</f>
        <v>83594.166666666672</v>
      </c>
      <c r="E119" s="178">
        <f t="shared" si="24"/>
        <v>1469.1666666666665</v>
      </c>
      <c r="F119" s="178">
        <f t="shared" si="24"/>
        <v>1719.1666666666665</v>
      </c>
      <c r="G119" s="178">
        <f t="shared" si="24"/>
        <v>83594.166666666672</v>
      </c>
      <c r="H119" s="178">
        <f t="shared" si="24"/>
        <v>1769.1666666666665</v>
      </c>
      <c r="I119" s="178">
        <f t="shared" si="24"/>
        <v>13469.166666666666</v>
      </c>
      <c r="J119" s="178">
        <f t="shared" si="24"/>
        <v>83594.166666666672</v>
      </c>
      <c r="K119" s="178">
        <f t="shared" si="24"/>
        <v>1469.1666666666665</v>
      </c>
      <c r="L119" s="178">
        <f t="shared" si="24"/>
        <v>1719.1666666666665</v>
      </c>
      <c r="M119" s="178">
        <f t="shared" si="24"/>
        <v>83594.166666666672</v>
      </c>
      <c r="N119" s="178">
        <f t="shared" si="24"/>
        <v>1469.1666666666665</v>
      </c>
      <c r="O119" s="178">
        <f t="shared" si="24"/>
        <v>1469.1666666666665</v>
      </c>
      <c r="P119" s="178">
        <f>SUM(P101:P118)</f>
        <v>358930</v>
      </c>
      <c r="Q119" s="178">
        <f t="shared" si="11"/>
        <v>25504</v>
      </c>
      <c r="R119" s="246">
        <f t="shared" si="12"/>
        <v>7.6490735575510005E-2</v>
      </c>
    </row>
    <row r="120" spans="1:24" x14ac:dyDescent="0.25">
      <c r="A120" s="1"/>
      <c r="B120" s="5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 t="str">
        <f t="shared" si="11"/>
        <v/>
      </c>
      <c r="R120" s="246" t="str">
        <f t="shared" si="12"/>
        <v/>
      </c>
    </row>
    <row r="121" spans="1:24" x14ac:dyDescent="0.25">
      <c r="A121" s="1" t="s">
        <v>95</v>
      </c>
      <c r="B121" s="5" t="s">
        <v>96</v>
      </c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 t="str">
        <f t="shared" si="11"/>
        <v/>
      </c>
      <c r="R121" s="246" t="str">
        <f t="shared" si="12"/>
        <v/>
      </c>
      <c r="U121" s="188"/>
      <c r="V121" s="221"/>
      <c r="W121" s="221"/>
      <c r="X121" s="221"/>
    </row>
    <row r="122" spans="1:24" x14ac:dyDescent="0.25">
      <c r="A122" s="1" t="s">
        <v>258</v>
      </c>
      <c r="B122" s="5" t="s">
        <v>386</v>
      </c>
      <c r="C122" s="177">
        <v>2436</v>
      </c>
      <c r="D122" s="177">
        <f t="shared" ref="D122:O122" si="25">$P$122/12</f>
        <v>142.1</v>
      </c>
      <c r="E122" s="177">
        <f t="shared" si="25"/>
        <v>142.1</v>
      </c>
      <c r="F122" s="177">
        <f t="shared" si="25"/>
        <v>142.1</v>
      </c>
      <c r="G122" s="177">
        <f t="shared" si="25"/>
        <v>142.1</v>
      </c>
      <c r="H122" s="177">
        <f t="shared" si="25"/>
        <v>142.1</v>
      </c>
      <c r="I122" s="177">
        <f t="shared" si="25"/>
        <v>142.1</v>
      </c>
      <c r="J122" s="177">
        <f t="shared" si="25"/>
        <v>142.1</v>
      </c>
      <c r="K122" s="177">
        <f t="shared" si="25"/>
        <v>142.1</v>
      </c>
      <c r="L122" s="177">
        <f t="shared" si="25"/>
        <v>142.1</v>
      </c>
      <c r="M122" s="177">
        <f t="shared" si="25"/>
        <v>142.1</v>
      </c>
      <c r="N122" s="177">
        <f t="shared" si="25"/>
        <v>142.1</v>
      </c>
      <c r="O122" s="177">
        <f t="shared" si="25"/>
        <v>142.1</v>
      </c>
      <c r="P122" s="176">
        <f>C122*0.7</f>
        <v>1705.1999999999998</v>
      </c>
      <c r="Q122" s="176">
        <f t="shared" si="11"/>
        <v>-730.80000000000018</v>
      </c>
      <c r="R122" s="246">
        <f t="shared" si="12"/>
        <v>-0.3000000000000001</v>
      </c>
      <c r="S122" t="s">
        <v>601</v>
      </c>
      <c r="V122" s="221"/>
      <c r="W122" s="221"/>
      <c r="X122" s="221"/>
    </row>
    <row r="123" spans="1:24" x14ac:dyDescent="0.25">
      <c r="A123" s="1" t="s">
        <v>97</v>
      </c>
      <c r="B123" s="5" t="s">
        <v>98</v>
      </c>
      <c r="C123" s="177">
        <v>0</v>
      </c>
      <c r="D123" s="177">
        <v>0</v>
      </c>
      <c r="E123" s="177">
        <v>0</v>
      </c>
      <c r="F123" s="177">
        <f>103*0.7</f>
        <v>72.099999999999994</v>
      </c>
      <c r="G123" s="177">
        <f>20*0.7</f>
        <v>14</v>
      </c>
      <c r="H123" s="177">
        <v>0</v>
      </c>
      <c r="I123" s="177">
        <v>0</v>
      </c>
      <c r="J123" s="177">
        <f>117*0.7</f>
        <v>81.899999999999991</v>
      </c>
      <c r="K123" s="177">
        <f>78*0.7</f>
        <v>54.599999999999994</v>
      </c>
      <c r="L123" s="177">
        <v>0</v>
      </c>
      <c r="M123" s="177">
        <v>0</v>
      </c>
      <c r="N123" s="177">
        <v>0</v>
      </c>
      <c r="O123" s="177">
        <v>0</v>
      </c>
      <c r="P123" s="176">
        <f>SUM(D123:O123)</f>
        <v>222.6</v>
      </c>
      <c r="Q123" s="176">
        <f t="shared" si="11"/>
        <v>222.6</v>
      </c>
      <c r="R123" s="246" t="str">
        <f t="shared" si="12"/>
        <v/>
      </c>
      <c r="S123" t="s">
        <v>601</v>
      </c>
      <c r="V123" s="221"/>
      <c r="W123" s="221"/>
      <c r="X123" s="221"/>
    </row>
    <row r="124" spans="1:24" x14ac:dyDescent="0.25">
      <c r="A124" s="1" t="s">
        <v>99</v>
      </c>
      <c r="B124" s="5" t="s">
        <v>100</v>
      </c>
      <c r="C124" s="177">
        <v>1932</v>
      </c>
      <c r="D124" s="177">
        <f t="shared" ref="D124:O124" si="26">$P$124/12</f>
        <v>112.69999999999999</v>
      </c>
      <c r="E124" s="177">
        <f t="shared" si="26"/>
        <v>112.69999999999999</v>
      </c>
      <c r="F124" s="177">
        <f t="shared" si="26"/>
        <v>112.69999999999999</v>
      </c>
      <c r="G124" s="177">
        <f t="shared" si="26"/>
        <v>112.69999999999999</v>
      </c>
      <c r="H124" s="177">
        <f t="shared" si="26"/>
        <v>112.69999999999999</v>
      </c>
      <c r="I124" s="177">
        <f t="shared" si="26"/>
        <v>112.69999999999999</v>
      </c>
      <c r="J124" s="177">
        <f t="shared" si="26"/>
        <v>112.69999999999999</v>
      </c>
      <c r="K124" s="177">
        <f t="shared" si="26"/>
        <v>112.69999999999999</v>
      </c>
      <c r="L124" s="177">
        <f t="shared" si="26"/>
        <v>112.69999999999999</v>
      </c>
      <c r="M124" s="177">
        <f t="shared" si="26"/>
        <v>112.69999999999999</v>
      </c>
      <c r="N124" s="177">
        <f t="shared" si="26"/>
        <v>112.69999999999999</v>
      </c>
      <c r="O124" s="177">
        <f t="shared" si="26"/>
        <v>112.69999999999999</v>
      </c>
      <c r="P124" s="176">
        <f>C124*0.7</f>
        <v>1352.3999999999999</v>
      </c>
      <c r="Q124" s="176">
        <f t="shared" si="11"/>
        <v>-579.60000000000014</v>
      </c>
      <c r="R124" s="246">
        <f t="shared" si="12"/>
        <v>-0.30000000000000004</v>
      </c>
      <c r="S124" t="s">
        <v>601</v>
      </c>
      <c r="V124" s="221"/>
      <c r="W124" s="221"/>
      <c r="X124" s="221"/>
    </row>
    <row r="125" spans="1:24" x14ac:dyDescent="0.25">
      <c r="A125" s="1" t="s">
        <v>101</v>
      </c>
      <c r="B125" s="5" t="s">
        <v>102</v>
      </c>
      <c r="C125" s="177">
        <f t="shared" ref="C125:O125" si="27">$P$125/12</f>
        <v>0</v>
      </c>
      <c r="D125" s="177">
        <f t="shared" si="27"/>
        <v>0</v>
      </c>
      <c r="E125" s="177">
        <f t="shared" si="27"/>
        <v>0</v>
      </c>
      <c r="F125" s="177">
        <f t="shared" si="27"/>
        <v>0</v>
      </c>
      <c r="G125" s="177">
        <f t="shared" si="27"/>
        <v>0</v>
      </c>
      <c r="H125" s="177">
        <f t="shared" si="27"/>
        <v>0</v>
      </c>
      <c r="I125" s="177">
        <f t="shared" si="27"/>
        <v>0</v>
      </c>
      <c r="J125" s="177">
        <f t="shared" si="27"/>
        <v>0</v>
      </c>
      <c r="K125" s="177">
        <f t="shared" si="27"/>
        <v>0</v>
      </c>
      <c r="L125" s="177">
        <f t="shared" si="27"/>
        <v>0</v>
      </c>
      <c r="M125" s="177">
        <f t="shared" si="27"/>
        <v>0</v>
      </c>
      <c r="N125" s="177">
        <f t="shared" si="27"/>
        <v>0</v>
      </c>
      <c r="O125" s="177">
        <f t="shared" si="27"/>
        <v>0</v>
      </c>
      <c r="P125" s="176">
        <v>0</v>
      </c>
      <c r="Q125" s="176">
        <f t="shared" si="11"/>
        <v>0</v>
      </c>
      <c r="R125" s="246" t="str">
        <f t="shared" si="12"/>
        <v/>
      </c>
    </row>
    <row r="126" spans="1:24" x14ac:dyDescent="0.25">
      <c r="A126" s="1" t="s">
        <v>103</v>
      </c>
      <c r="B126" s="5" t="s">
        <v>104</v>
      </c>
      <c r="C126" s="177">
        <v>0</v>
      </c>
      <c r="D126" s="177">
        <f>20*0.7</f>
        <v>14</v>
      </c>
      <c r="E126" s="177">
        <f t="shared" ref="E126:O126" si="28">20*0.7</f>
        <v>14</v>
      </c>
      <c r="F126" s="177">
        <f t="shared" si="28"/>
        <v>14</v>
      </c>
      <c r="G126" s="177">
        <f t="shared" si="28"/>
        <v>14</v>
      </c>
      <c r="H126" s="177">
        <f t="shared" si="28"/>
        <v>14</v>
      </c>
      <c r="I126" s="177">
        <f t="shared" si="28"/>
        <v>14</v>
      </c>
      <c r="J126" s="177">
        <f t="shared" si="28"/>
        <v>14</v>
      </c>
      <c r="K126" s="177">
        <f t="shared" si="28"/>
        <v>14</v>
      </c>
      <c r="L126" s="177">
        <f t="shared" si="28"/>
        <v>14</v>
      </c>
      <c r="M126" s="177">
        <f t="shared" si="28"/>
        <v>14</v>
      </c>
      <c r="N126" s="177">
        <f t="shared" si="28"/>
        <v>14</v>
      </c>
      <c r="O126" s="177">
        <f t="shared" si="28"/>
        <v>14</v>
      </c>
      <c r="P126" s="176">
        <f>SUM(D126:O126)</f>
        <v>168</v>
      </c>
      <c r="Q126" s="176">
        <f t="shared" si="11"/>
        <v>168</v>
      </c>
      <c r="R126" s="246" t="str">
        <f t="shared" si="12"/>
        <v/>
      </c>
      <c r="S126" t="s">
        <v>601</v>
      </c>
      <c r="X126" s="220"/>
    </row>
    <row r="127" spans="1:24" ht="15.75" thickBot="1" x14ac:dyDescent="0.3">
      <c r="A127" s="1"/>
      <c r="B127" s="5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 t="str">
        <f t="shared" si="11"/>
        <v/>
      </c>
      <c r="R127" s="246" t="str">
        <f t="shared" si="12"/>
        <v/>
      </c>
    </row>
    <row r="128" spans="1:24" s="121" customFormat="1" x14ac:dyDescent="0.25">
      <c r="A128" s="6" t="s">
        <v>105</v>
      </c>
      <c r="B128" s="3" t="s">
        <v>106</v>
      </c>
      <c r="C128" s="178">
        <f t="shared" ref="C128" si="29">SUM(C122:C127)</f>
        <v>4368</v>
      </c>
      <c r="D128" s="178">
        <f t="shared" ref="D128:O128" si="30">SUM(D122:D127)</f>
        <v>268.79999999999995</v>
      </c>
      <c r="E128" s="178">
        <f t="shared" si="30"/>
        <v>268.79999999999995</v>
      </c>
      <c r="F128" s="178">
        <f t="shared" si="30"/>
        <v>340.9</v>
      </c>
      <c r="G128" s="178">
        <f t="shared" si="30"/>
        <v>282.79999999999995</v>
      </c>
      <c r="H128" s="178">
        <f t="shared" si="30"/>
        <v>268.79999999999995</v>
      </c>
      <c r="I128" s="178">
        <f t="shared" si="30"/>
        <v>268.79999999999995</v>
      </c>
      <c r="J128" s="178">
        <f t="shared" si="30"/>
        <v>350.7</v>
      </c>
      <c r="K128" s="178">
        <f t="shared" si="30"/>
        <v>323.39999999999998</v>
      </c>
      <c r="L128" s="178">
        <f t="shared" si="30"/>
        <v>268.79999999999995</v>
      </c>
      <c r="M128" s="178">
        <f t="shared" si="30"/>
        <v>268.79999999999995</v>
      </c>
      <c r="N128" s="178">
        <f t="shared" si="30"/>
        <v>268.79999999999995</v>
      </c>
      <c r="O128" s="178">
        <f t="shared" si="30"/>
        <v>268.79999999999995</v>
      </c>
      <c r="P128" s="178">
        <f>SUM(P122:P127)</f>
        <v>3448.2</v>
      </c>
      <c r="Q128" s="178">
        <f t="shared" si="11"/>
        <v>-919.80000000000018</v>
      </c>
      <c r="R128" s="246">
        <f t="shared" si="12"/>
        <v>-0.21057692307692311</v>
      </c>
    </row>
    <row r="129" spans="1:18" x14ac:dyDescent="0.25">
      <c r="A129" s="1"/>
      <c r="B129" s="5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 t="str">
        <f t="shared" si="11"/>
        <v/>
      </c>
      <c r="R129" s="246" t="str">
        <f t="shared" si="12"/>
        <v/>
      </c>
    </row>
    <row r="130" spans="1:18" x14ac:dyDescent="0.25">
      <c r="A130" s="1" t="s">
        <v>107</v>
      </c>
      <c r="B130" s="5" t="s">
        <v>108</v>
      </c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 t="str">
        <f t="shared" si="11"/>
        <v/>
      </c>
      <c r="R130" s="246" t="str">
        <f t="shared" si="12"/>
        <v/>
      </c>
    </row>
    <row r="131" spans="1:18" ht="15.75" thickBot="1" x14ac:dyDescent="0.3">
      <c r="A131" s="1" t="s">
        <v>109</v>
      </c>
      <c r="B131" s="5" t="s">
        <v>110</v>
      </c>
      <c r="C131" s="176">
        <v>346740</v>
      </c>
      <c r="D131" s="176">
        <v>30775.716237933335</v>
      </c>
      <c r="E131" s="176">
        <v>26977.001508022226</v>
      </c>
      <c r="F131" s="176">
        <v>25983.331693511111</v>
      </c>
      <c r="G131" s="176">
        <v>30548.212861833334</v>
      </c>
      <c r="H131" s="176">
        <v>26770.773803511114</v>
      </c>
      <c r="I131" s="176">
        <v>27625.246861333333</v>
      </c>
      <c r="J131" s="176">
        <v>29390.345744355556</v>
      </c>
      <c r="K131" s="176">
        <v>26568.188036288891</v>
      </c>
      <c r="L131" s="176">
        <v>28325.824774722223</v>
      </c>
      <c r="M131" s="176">
        <v>28253.92622982222</v>
      </c>
      <c r="N131" s="176">
        <v>27272.702335666665</v>
      </c>
      <c r="O131" s="176">
        <v>27199.788191333333</v>
      </c>
      <c r="P131" s="176">
        <f>SUM(D131:O131)</f>
        <v>335691.0582783334</v>
      </c>
      <c r="Q131" s="176">
        <f t="shared" si="11"/>
        <v>-11048.941721666604</v>
      </c>
      <c r="R131" s="246">
        <f t="shared" si="12"/>
        <v>-3.1865206557266552E-2</v>
      </c>
    </row>
    <row r="132" spans="1:18" s="121" customFormat="1" x14ac:dyDescent="0.25">
      <c r="A132" s="6" t="s">
        <v>111</v>
      </c>
      <c r="B132" s="3" t="s">
        <v>112</v>
      </c>
      <c r="C132" s="178">
        <f t="shared" ref="C132:O132" si="31">SUM(C131:C131)</f>
        <v>346740</v>
      </c>
      <c r="D132" s="178">
        <f t="shared" si="31"/>
        <v>30775.716237933335</v>
      </c>
      <c r="E132" s="178">
        <f t="shared" si="31"/>
        <v>26977.001508022226</v>
      </c>
      <c r="F132" s="178">
        <f t="shared" si="31"/>
        <v>25983.331693511111</v>
      </c>
      <c r="G132" s="178">
        <f t="shared" si="31"/>
        <v>30548.212861833334</v>
      </c>
      <c r="H132" s="178">
        <f t="shared" si="31"/>
        <v>26770.773803511114</v>
      </c>
      <c r="I132" s="178">
        <f t="shared" si="31"/>
        <v>27625.246861333333</v>
      </c>
      <c r="J132" s="178">
        <f t="shared" si="31"/>
        <v>29390.345744355556</v>
      </c>
      <c r="K132" s="178">
        <f t="shared" si="31"/>
        <v>26568.188036288891</v>
      </c>
      <c r="L132" s="178">
        <f t="shared" si="31"/>
        <v>28325.824774722223</v>
      </c>
      <c r="M132" s="178">
        <f t="shared" si="31"/>
        <v>28253.92622982222</v>
      </c>
      <c r="N132" s="178">
        <f t="shared" si="31"/>
        <v>27272.702335666665</v>
      </c>
      <c r="O132" s="178">
        <f t="shared" si="31"/>
        <v>27199.788191333333</v>
      </c>
      <c r="P132" s="178">
        <f>SUM(P131:P131)</f>
        <v>335691.0582783334</v>
      </c>
      <c r="Q132" s="178">
        <f t="shared" si="11"/>
        <v>-11048.941721666604</v>
      </c>
      <c r="R132" s="246">
        <f t="shared" si="12"/>
        <v>-3.1865206557266552E-2</v>
      </c>
    </row>
    <row r="133" spans="1:18" x14ac:dyDescent="0.25">
      <c r="A133" s="1"/>
      <c r="B133" s="5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 t="str">
        <f t="shared" si="11"/>
        <v/>
      </c>
      <c r="R133" s="246" t="str">
        <f t="shared" si="12"/>
        <v/>
      </c>
    </row>
    <row r="134" spans="1:18" ht="15.75" thickBot="1" x14ac:dyDescent="0.3">
      <c r="A134" s="1"/>
      <c r="B134" s="5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 t="str">
        <f t="shared" si="11"/>
        <v/>
      </c>
      <c r="R134" s="246" t="str">
        <f t="shared" si="12"/>
        <v/>
      </c>
    </row>
    <row r="135" spans="1:18" s="121" customFormat="1" x14ac:dyDescent="0.25">
      <c r="A135" s="6" t="s">
        <v>113</v>
      </c>
      <c r="B135" s="3" t="s">
        <v>114</v>
      </c>
      <c r="C135" s="178">
        <f t="shared" ref="C135" si="32">SUM(C132,C128,C119,C98)</f>
        <v>942723</v>
      </c>
      <c r="D135" s="178">
        <f t="shared" ref="D135:O135" si="33">SUM(D132,D128,D119,D98)</f>
        <v>138943.68290459999</v>
      </c>
      <c r="E135" s="178">
        <f t="shared" si="33"/>
        <v>45399.968174688896</v>
      </c>
      <c r="F135" s="178">
        <f t="shared" si="33"/>
        <v>64537.39836017778</v>
      </c>
      <c r="G135" s="178">
        <f t="shared" si="33"/>
        <v>135730.17952850001</v>
      </c>
      <c r="H135" s="178">
        <f t="shared" si="33"/>
        <v>45253.740470177785</v>
      </c>
      <c r="I135" s="178">
        <f t="shared" si="33"/>
        <v>83930.213527999993</v>
      </c>
      <c r="J135" s="178">
        <f t="shared" si="33"/>
        <v>129640.21241102222</v>
      </c>
      <c r="K135" s="178">
        <f t="shared" si="33"/>
        <v>55474.754702955557</v>
      </c>
      <c r="L135" s="178">
        <f t="shared" si="33"/>
        <v>57138.791441388894</v>
      </c>
      <c r="M135" s="178">
        <f t="shared" si="33"/>
        <v>128571.89289648889</v>
      </c>
      <c r="N135" s="178">
        <f t="shared" si="33"/>
        <v>56458.669002333336</v>
      </c>
      <c r="O135" s="178">
        <f t="shared" si="33"/>
        <v>47096.754858</v>
      </c>
      <c r="P135" s="178">
        <f>SUM(P132,P128,P119,P98)</f>
        <v>988176.25827833335</v>
      </c>
      <c r="Q135" s="178">
        <f t="shared" si="11"/>
        <v>45453.258278333349</v>
      </c>
      <c r="R135" s="246">
        <f t="shared" si="12"/>
        <v>4.8214860864043148E-2</v>
      </c>
    </row>
    <row r="136" spans="1:18" x14ac:dyDescent="0.25">
      <c r="A136" s="1"/>
      <c r="B136" s="5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 t="str">
        <f t="shared" si="11"/>
        <v/>
      </c>
      <c r="R136" s="246" t="str">
        <f t="shared" si="12"/>
        <v/>
      </c>
    </row>
    <row r="137" spans="1:18" ht="15.75" thickBot="1" x14ac:dyDescent="0.3">
      <c r="A137" s="1"/>
      <c r="B137" s="5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 t="str">
        <f t="shared" si="11"/>
        <v/>
      </c>
      <c r="R137" s="246" t="str">
        <f t="shared" si="12"/>
        <v/>
      </c>
    </row>
    <row r="138" spans="1:18" s="121" customFormat="1" x14ac:dyDescent="0.25">
      <c r="A138" s="6" t="s">
        <v>115</v>
      </c>
      <c r="B138" s="3" t="s">
        <v>116</v>
      </c>
      <c r="C138" s="178">
        <f t="shared" ref="C138:P138" si="34">-C135+C79</f>
        <v>852944</v>
      </c>
      <c r="D138" s="178">
        <f t="shared" si="34"/>
        <v>19606.397095400025</v>
      </c>
      <c r="E138" s="178">
        <f t="shared" si="34"/>
        <v>113150.11182531112</v>
      </c>
      <c r="F138" s="178">
        <f t="shared" si="34"/>
        <v>94690.101639822213</v>
      </c>
      <c r="G138" s="178">
        <f t="shared" si="34"/>
        <v>24071.320471499988</v>
      </c>
      <c r="H138" s="178">
        <f t="shared" si="34"/>
        <v>114547.75952982221</v>
      </c>
      <c r="I138" s="178">
        <f t="shared" si="34"/>
        <v>76596.286472000007</v>
      </c>
      <c r="J138" s="178">
        <f t="shared" si="34"/>
        <v>30886.287588977779</v>
      </c>
      <c r="K138" s="178">
        <f t="shared" si="34"/>
        <v>105748.40529704445</v>
      </c>
      <c r="L138" s="178">
        <f t="shared" si="34"/>
        <v>104084.36855861111</v>
      </c>
      <c r="M138" s="178">
        <f t="shared" si="34"/>
        <v>32651.267103511113</v>
      </c>
      <c r="N138" s="178">
        <f t="shared" si="34"/>
        <v>104909.33099766666</v>
      </c>
      <c r="O138" s="178">
        <f t="shared" si="34"/>
        <v>118271.245142</v>
      </c>
      <c r="P138" s="178">
        <f t="shared" si="34"/>
        <v>939218.88172166655</v>
      </c>
      <c r="Q138" s="178">
        <f t="shared" si="11"/>
        <v>86274.881721666548</v>
      </c>
      <c r="R138" s="246">
        <f t="shared" si="12"/>
        <v>0.1011495264890386</v>
      </c>
    </row>
    <row r="139" spans="1:18" x14ac:dyDescent="0.25">
      <c r="A139" s="1"/>
      <c r="B139" s="5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 t="str">
        <f t="shared" si="11"/>
        <v/>
      </c>
      <c r="R139" s="246" t="str">
        <f t="shared" ref="R139:R202" si="35">IF(C139&lt;&gt;0,Q139/C139,"")</f>
        <v/>
      </c>
    </row>
    <row r="140" spans="1:18" x14ac:dyDescent="0.25">
      <c r="A140" s="1"/>
      <c r="B140" s="5" t="s">
        <v>117</v>
      </c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 t="str">
        <f t="shared" si="11"/>
        <v/>
      </c>
      <c r="R140" s="246" t="str">
        <f t="shared" si="35"/>
        <v/>
      </c>
    </row>
    <row r="141" spans="1:18" ht="15.75" thickBot="1" x14ac:dyDescent="0.3">
      <c r="A141" s="1" t="s">
        <v>118</v>
      </c>
      <c r="B141" s="5" t="s">
        <v>119</v>
      </c>
      <c r="C141" s="177">
        <v>-325900</v>
      </c>
      <c r="D141" s="177">
        <f>-27158+D105</f>
        <v>54967</v>
      </c>
      <c r="E141" s="177">
        <f>-27158+E105</f>
        <v>-27158</v>
      </c>
      <c r="F141" s="177">
        <f t="shared" ref="F141:O141" si="36">-27158+F105</f>
        <v>-27158</v>
      </c>
      <c r="G141" s="177">
        <f t="shared" si="36"/>
        <v>54967</v>
      </c>
      <c r="H141" s="177">
        <f t="shared" si="36"/>
        <v>-27158</v>
      </c>
      <c r="I141" s="177">
        <f t="shared" si="36"/>
        <v>-27158</v>
      </c>
      <c r="J141" s="177">
        <f t="shared" si="36"/>
        <v>54967</v>
      </c>
      <c r="K141" s="177">
        <f t="shared" si="36"/>
        <v>-27158</v>
      </c>
      <c r="L141" s="177">
        <f t="shared" si="36"/>
        <v>-27158</v>
      </c>
      <c r="M141" s="177">
        <f t="shared" si="36"/>
        <v>54967</v>
      </c>
      <c r="N141" s="177">
        <f t="shared" si="36"/>
        <v>-27158</v>
      </c>
      <c r="O141" s="177">
        <f t="shared" si="36"/>
        <v>-27158</v>
      </c>
      <c r="P141" s="176">
        <f>SUM(D141:O141)</f>
        <v>2604</v>
      </c>
      <c r="Q141" s="176">
        <f t="shared" si="11"/>
        <v>328504</v>
      </c>
      <c r="R141" s="246">
        <f t="shared" si="35"/>
        <v>-1.0079901810371279</v>
      </c>
    </row>
    <row r="142" spans="1:18" s="121" customFormat="1" x14ac:dyDescent="0.25">
      <c r="A142" s="6" t="s">
        <v>120</v>
      </c>
      <c r="B142" s="3" t="s">
        <v>121</v>
      </c>
      <c r="C142" s="178">
        <f t="shared" ref="C142:O142" si="37">SUM(C141:C141)</f>
        <v>-325900</v>
      </c>
      <c r="D142" s="178">
        <f t="shared" si="37"/>
        <v>54967</v>
      </c>
      <c r="E142" s="178">
        <f t="shared" si="37"/>
        <v>-27158</v>
      </c>
      <c r="F142" s="178">
        <f t="shared" si="37"/>
        <v>-27158</v>
      </c>
      <c r="G142" s="178">
        <f t="shared" si="37"/>
        <v>54967</v>
      </c>
      <c r="H142" s="178">
        <f t="shared" si="37"/>
        <v>-27158</v>
      </c>
      <c r="I142" s="178">
        <f t="shared" si="37"/>
        <v>-27158</v>
      </c>
      <c r="J142" s="178">
        <f t="shared" si="37"/>
        <v>54967</v>
      </c>
      <c r="K142" s="178">
        <f t="shared" si="37"/>
        <v>-27158</v>
      </c>
      <c r="L142" s="178">
        <f t="shared" si="37"/>
        <v>-27158</v>
      </c>
      <c r="M142" s="178">
        <f t="shared" si="37"/>
        <v>54967</v>
      </c>
      <c r="N142" s="178">
        <f t="shared" si="37"/>
        <v>-27158</v>
      </c>
      <c r="O142" s="178">
        <f t="shared" si="37"/>
        <v>-27158</v>
      </c>
      <c r="P142" s="178">
        <f>SUM(P141:P141)</f>
        <v>2604</v>
      </c>
      <c r="Q142" s="178">
        <f t="shared" si="11"/>
        <v>328504</v>
      </c>
      <c r="R142" s="246">
        <f t="shared" si="35"/>
        <v>-1.0079901810371279</v>
      </c>
    </row>
    <row r="143" spans="1:18" s="121" customFormat="1" x14ac:dyDescent="0.25">
      <c r="A143" s="6"/>
      <c r="B143" s="3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 t="str">
        <f t="shared" ref="Q143:Q206" si="38">IF(C143&lt;&gt;"",P143-C143,"")</f>
        <v/>
      </c>
      <c r="R143" s="246" t="str">
        <f t="shared" si="35"/>
        <v/>
      </c>
    </row>
    <row r="144" spans="1:18" s="225" customFormat="1" x14ac:dyDescent="0.25">
      <c r="A144" s="223"/>
      <c r="B144" s="224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46" t="str">
        <f t="shared" si="35"/>
        <v/>
      </c>
    </row>
    <row r="145" spans="1:31" s="225" customFormat="1" x14ac:dyDescent="0.25">
      <c r="A145" s="223" t="s">
        <v>126</v>
      </c>
      <c r="B145" s="224" t="s">
        <v>127</v>
      </c>
      <c r="C145" s="226">
        <v>0</v>
      </c>
      <c r="D145" s="226">
        <f>$P$145/4</f>
        <v>-4213.5</v>
      </c>
      <c r="E145" s="226">
        <v>0</v>
      </c>
      <c r="F145" s="226">
        <v>0</v>
      </c>
      <c r="G145" s="226">
        <f>$P$145/4</f>
        <v>-4213.5</v>
      </c>
      <c r="H145" s="226">
        <v>0</v>
      </c>
      <c r="I145" s="226">
        <v>0</v>
      </c>
      <c r="J145" s="226">
        <f>$P$145/4</f>
        <v>-4213.5</v>
      </c>
      <c r="K145" s="226">
        <v>0</v>
      </c>
      <c r="L145" s="226">
        <v>0</v>
      </c>
      <c r="M145" s="226">
        <f>$P$145/4</f>
        <v>-4213.5</v>
      </c>
      <c r="N145" s="226">
        <v>0</v>
      </c>
      <c r="O145" s="226">
        <v>0</v>
      </c>
      <c r="P145" s="227">
        <v>-16854</v>
      </c>
      <c r="Q145" s="227">
        <f t="shared" si="38"/>
        <v>-16854</v>
      </c>
      <c r="R145" s="246" t="str">
        <f t="shared" si="35"/>
        <v/>
      </c>
      <c r="S145" s="228" t="s">
        <v>593</v>
      </c>
    </row>
    <row r="146" spans="1:31" s="225" customFormat="1" x14ac:dyDescent="0.25">
      <c r="A146" s="223" t="s">
        <v>279</v>
      </c>
      <c r="B146" s="224" t="s">
        <v>388</v>
      </c>
      <c r="C146" s="226">
        <v>0</v>
      </c>
      <c r="D146" s="226">
        <v>0</v>
      </c>
      <c r="E146" s="226">
        <v>0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7">
        <f>SUM(D146:O146)</f>
        <v>0</v>
      </c>
      <c r="Q146" s="227">
        <f t="shared" si="38"/>
        <v>0</v>
      </c>
      <c r="R146" s="246" t="str">
        <f t="shared" si="35"/>
        <v/>
      </c>
    </row>
    <row r="147" spans="1:31" s="225" customFormat="1" ht="15.75" thickBot="1" x14ac:dyDescent="0.3">
      <c r="A147" s="223" t="s">
        <v>134</v>
      </c>
      <c r="B147" s="224" t="s">
        <v>135</v>
      </c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>
        <f>_xlfn.IFNA(VLOOKUP(A147,'Op Budget 2016'!$C$15:$Q$53,15,FALSE),)</f>
        <v>0</v>
      </c>
      <c r="Q147" s="227" t="str">
        <f t="shared" si="38"/>
        <v/>
      </c>
      <c r="R147" s="246" t="str">
        <f t="shared" si="35"/>
        <v/>
      </c>
    </row>
    <row r="148" spans="1:31" s="228" customFormat="1" x14ac:dyDescent="0.25">
      <c r="A148" s="229" t="s">
        <v>136</v>
      </c>
      <c r="B148" s="230" t="s">
        <v>137</v>
      </c>
      <c r="C148" s="231">
        <f t="shared" ref="C148" si="39">SUM(C145:C147)</f>
        <v>0</v>
      </c>
      <c r="D148" s="231">
        <f t="shared" ref="D148:O148" si="40">SUM(D145:D147)</f>
        <v>-4213.5</v>
      </c>
      <c r="E148" s="231">
        <f>SUM(E145:E147)</f>
        <v>0</v>
      </c>
      <c r="F148" s="231">
        <f t="shared" si="40"/>
        <v>0</v>
      </c>
      <c r="G148" s="231">
        <f t="shared" si="40"/>
        <v>-4213.5</v>
      </c>
      <c r="H148" s="231">
        <f t="shared" si="40"/>
        <v>0</v>
      </c>
      <c r="I148" s="231">
        <f t="shared" si="40"/>
        <v>0</v>
      </c>
      <c r="J148" s="231">
        <f t="shared" si="40"/>
        <v>-4213.5</v>
      </c>
      <c r="K148" s="231">
        <f t="shared" si="40"/>
        <v>0</v>
      </c>
      <c r="L148" s="231">
        <f t="shared" si="40"/>
        <v>0</v>
      </c>
      <c r="M148" s="231">
        <f t="shared" si="40"/>
        <v>-4213.5</v>
      </c>
      <c r="N148" s="231">
        <f t="shared" si="40"/>
        <v>0</v>
      </c>
      <c r="O148" s="231">
        <f t="shared" si="40"/>
        <v>0</v>
      </c>
      <c r="P148" s="231">
        <f>SUM(P145:P147)</f>
        <v>-16854</v>
      </c>
      <c r="Q148" s="231">
        <f t="shared" si="38"/>
        <v>-16854</v>
      </c>
      <c r="R148" s="246" t="str">
        <f t="shared" si="35"/>
        <v/>
      </c>
    </row>
    <row r="149" spans="1:31" x14ac:dyDescent="0.25">
      <c r="A149" s="122"/>
      <c r="B149" s="3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 t="str">
        <f t="shared" si="38"/>
        <v/>
      </c>
      <c r="R149" s="246" t="str">
        <f t="shared" si="35"/>
        <v/>
      </c>
    </row>
    <row r="150" spans="1:31" x14ac:dyDescent="0.25">
      <c r="A150" s="122"/>
      <c r="B150" s="3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 t="str">
        <f t="shared" si="38"/>
        <v/>
      </c>
      <c r="R150" s="246" t="str">
        <f t="shared" si="35"/>
        <v/>
      </c>
    </row>
    <row r="151" spans="1:31" x14ac:dyDescent="0.25">
      <c r="A151" s="1" t="s">
        <v>130</v>
      </c>
      <c r="B151" s="5" t="s">
        <v>131</v>
      </c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 t="str">
        <f t="shared" si="38"/>
        <v/>
      </c>
      <c r="R151" s="246" t="str">
        <f t="shared" si="35"/>
        <v/>
      </c>
    </row>
    <row r="152" spans="1:31" x14ac:dyDescent="0.25">
      <c r="A152" s="1" t="s">
        <v>132</v>
      </c>
      <c r="B152" s="5" t="s">
        <v>133</v>
      </c>
      <c r="C152" s="177">
        <v>0</v>
      </c>
      <c r="D152" s="177">
        <v>0</v>
      </c>
      <c r="E152" s="177">
        <v>0</v>
      </c>
      <c r="F152" s="177">
        <v>0</v>
      </c>
      <c r="G152" s="177">
        <v>0</v>
      </c>
      <c r="H152" s="177">
        <f>$P$152/2</f>
        <v>0</v>
      </c>
      <c r="I152" s="177">
        <f>$P$152/2</f>
        <v>0</v>
      </c>
      <c r="J152" s="177">
        <v>0</v>
      </c>
      <c r="K152" s="177">
        <v>0</v>
      </c>
      <c r="L152" s="177">
        <v>0</v>
      </c>
      <c r="M152" s="177">
        <v>0</v>
      </c>
      <c r="N152" s="177">
        <v>0</v>
      </c>
      <c r="O152" s="177">
        <v>0</v>
      </c>
      <c r="P152" s="176">
        <v>0</v>
      </c>
      <c r="Q152" s="176">
        <f t="shared" si="38"/>
        <v>0</v>
      </c>
      <c r="R152" s="246" t="str">
        <f t="shared" si="35"/>
        <v/>
      </c>
      <c r="S152" t="s">
        <v>598</v>
      </c>
    </row>
    <row r="153" spans="1:31" x14ac:dyDescent="0.25">
      <c r="A153" s="1" t="s">
        <v>279</v>
      </c>
      <c r="B153" s="5" t="s">
        <v>388</v>
      </c>
      <c r="C153" s="177">
        <v>0</v>
      </c>
      <c r="D153" s="177">
        <v>0</v>
      </c>
      <c r="E153" s="177">
        <v>0</v>
      </c>
      <c r="F153" s="177">
        <v>0</v>
      </c>
      <c r="G153" s="177">
        <v>0</v>
      </c>
      <c r="H153" s="177">
        <v>0</v>
      </c>
      <c r="I153" s="177">
        <v>0</v>
      </c>
      <c r="J153" s="177">
        <v>0</v>
      </c>
      <c r="K153" s="177">
        <v>0</v>
      </c>
      <c r="L153" s="177">
        <v>0</v>
      </c>
      <c r="M153" s="177">
        <v>0</v>
      </c>
      <c r="N153" s="177">
        <v>0</v>
      </c>
      <c r="O153" s="177">
        <v>0</v>
      </c>
      <c r="P153" s="176">
        <f>SUM(D153:O153)</f>
        <v>0</v>
      </c>
      <c r="Q153" s="176">
        <f t="shared" si="38"/>
        <v>0</v>
      </c>
      <c r="R153" s="246" t="str">
        <f t="shared" si="35"/>
        <v/>
      </c>
    </row>
    <row r="154" spans="1:31" ht="15.75" thickBot="1" x14ac:dyDescent="0.3">
      <c r="A154" s="1" t="s">
        <v>134</v>
      </c>
      <c r="B154" s="5" t="s">
        <v>135</v>
      </c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>
        <f>_xlfn.IFNA(VLOOKUP(A154,'Op Budget 2016'!$C$15:$Q$53,15,FALSE),)</f>
        <v>0</v>
      </c>
      <c r="Q154" s="176" t="str">
        <f t="shared" si="38"/>
        <v/>
      </c>
      <c r="R154" s="246" t="str">
        <f t="shared" si="35"/>
        <v/>
      </c>
    </row>
    <row r="155" spans="1:31" s="121" customFormat="1" x14ac:dyDescent="0.25">
      <c r="A155" s="6" t="s">
        <v>136</v>
      </c>
      <c r="B155" s="3" t="s">
        <v>137</v>
      </c>
      <c r="C155" s="178">
        <f t="shared" ref="C155" si="41">SUM(C152:C154)</f>
        <v>0</v>
      </c>
      <c r="D155" s="178">
        <f t="shared" ref="D155:O155" si="42">SUM(D152:D154)</f>
        <v>0</v>
      </c>
      <c r="E155" s="178">
        <f t="shared" si="42"/>
        <v>0</v>
      </c>
      <c r="F155" s="178">
        <f t="shared" si="42"/>
        <v>0</v>
      </c>
      <c r="G155" s="178">
        <f t="shared" si="42"/>
        <v>0</v>
      </c>
      <c r="H155" s="178">
        <f t="shared" si="42"/>
        <v>0</v>
      </c>
      <c r="I155" s="178">
        <f t="shared" si="42"/>
        <v>0</v>
      </c>
      <c r="J155" s="178">
        <f t="shared" si="42"/>
        <v>0</v>
      </c>
      <c r="K155" s="178">
        <f t="shared" si="42"/>
        <v>0</v>
      </c>
      <c r="L155" s="178">
        <f t="shared" si="42"/>
        <v>0</v>
      </c>
      <c r="M155" s="178">
        <f t="shared" si="42"/>
        <v>0</v>
      </c>
      <c r="N155" s="178">
        <f t="shared" si="42"/>
        <v>0</v>
      </c>
      <c r="O155" s="178">
        <f t="shared" si="42"/>
        <v>0</v>
      </c>
      <c r="P155" s="178">
        <f>SUM(P152:P154)</f>
        <v>0</v>
      </c>
      <c r="Q155" s="178">
        <f t="shared" si="38"/>
        <v>0</v>
      </c>
      <c r="R155" s="246" t="str">
        <f t="shared" si="35"/>
        <v/>
      </c>
    </row>
    <row r="156" spans="1:31" ht="15.75" thickBot="1" x14ac:dyDescent="0.3">
      <c r="A156" s="1"/>
      <c r="B156" s="5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 t="str">
        <f t="shared" si="38"/>
        <v/>
      </c>
      <c r="R156" s="246" t="str">
        <f t="shared" si="35"/>
        <v/>
      </c>
    </row>
    <row r="157" spans="1:31" s="121" customFormat="1" x14ac:dyDescent="0.25">
      <c r="A157" s="6" t="s">
        <v>138</v>
      </c>
      <c r="B157" s="3" t="s">
        <v>139</v>
      </c>
      <c r="C157" s="178">
        <f>SUM(C155,C148,C142)</f>
        <v>-325900</v>
      </c>
      <c r="D157" s="178">
        <f>SUM(D155,D148,D142)</f>
        <v>50753.5</v>
      </c>
      <c r="E157" s="178">
        <f t="shared" ref="E157:P157" si="43">SUM(E155,E148,E142)</f>
        <v>-27158</v>
      </c>
      <c r="F157" s="178">
        <f t="shared" si="43"/>
        <v>-27158</v>
      </c>
      <c r="G157" s="178">
        <f t="shared" si="43"/>
        <v>50753.5</v>
      </c>
      <c r="H157" s="178">
        <f t="shared" si="43"/>
        <v>-27158</v>
      </c>
      <c r="I157" s="178">
        <f t="shared" si="43"/>
        <v>-27158</v>
      </c>
      <c r="J157" s="178">
        <f t="shared" si="43"/>
        <v>50753.5</v>
      </c>
      <c r="K157" s="178">
        <f t="shared" si="43"/>
        <v>-27158</v>
      </c>
      <c r="L157" s="178">
        <f t="shared" si="43"/>
        <v>-27158</v>
      </c>
      <c r="M157" s="178">
        <f t="shared" si="43"/>
        <v>50753.5</v>
      </c>
      <c r="N157" s="178">
        <f t="shared" si="43"/>
        <v>-27158</v>
      </c>
      <c r="O157" s="178">
        <f t="shared" si="43"/>
        <v>-27158</v>
      </c>
      <c r="P157" s="178">
        <f t="shared" si="43"/>
        <v>-14250</v>
      </c>
      <c r="Q157" s="178">
        <f t="shared" si="38"/>
        <v>311650</v>
      </c>
      <c r="R157" s="246">
        <f t="shared" si="35"/>
        <v>-0.95627493096041727</v>
      </c>
    </row>
    <row r="158" spans="1:31" x14ac:dyDescent="0.25">
      <c r="A158" s="1"/>
      <c r="B158" s="5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 t="str">
        <f t="shared" si="38"/>
        <v/>
      </c>
      <c r="R158" s="246" t="str">
        <f t="shared" si="35"/>
        <v/>
      </c>
    </row>
    <row r="159" spans="1:31" x14ac:dyDescent="0.25">
      <c r="A159" s="1" t="s">
        <v>140</v>
      </c>
      <c r="B159" s="5" t="s">
        <v>141</v>
      </c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 t="str">
        <f t="shared" si="38"/>
        <v/>
      </c>
      <c r="R159" s="246" t="str">
        <f t="shared" si="35"/>
        <v/>
      </c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</row>
    <row r="160" spans="1:31" x14ac:dyDescent="0.25">
      <c r="A160" s="1" t="s">
        <v>273</v>
      </c>
      <c r="B160" s="5" t="s">
        <v>387</v>
      </c>
      <c r="C160" s="176">
        <v>-268159</v>
      </c>
      <c r="D160" s="176">
        <v>-23301.400000000373</v>
      </c>
      <c r="E160" s="176">
        <v>-22404.060000000522</v>
      </c>
      <c r="F160" s="176">
        <v>-22477.36999999918</v>
      </c>
      <c r="G160" s="176">
        <v>-25450.110000001267</v>
      </c>
      <c r="H160" s="176">
        <v>-22634.199999999255</v>
      </c>
      <c r="I160" s="176">
        <v>-23669.580000000075</v>
      </c>
      <c r="J160" s="176">
        <v>-22785.720000000671</v>
      </c>
      <c r="K160" s="176">
        <v>-23816.689999999478</v>
      </c>
      <c r="L160" s="176">
        <v>-22938.210000000894</v>
      </c>
      <c r="M160" s="176">
        <v>-23013.269999999553</v>
      </c>
      <c r="N160" s="176">
        <v>-24037.629999998957</v>
      </c>
      <c r="O160" s="176">
        <v>-23167.230000000447</v>
      </c>
      <c r="P160" s="176">
        <f>SUM(D160:O160)</f>
        <v>-279695.47000000067</v>
      </c>
      <c r="Q160" s="176">
        <f t="shared" si="38"/>
        <v>-11536.470000000671</v>
      </c>
      <c r="R160" s="246">
        <f t="shared" si="35"/>
        <v>4.3021006194088843E-2</v>
      </c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</row>
    <row r="161" spans="1:19" ht="15.75" thickBot="1" x14ac:dyDescent="0.3">
      <c r="A161" s="1" t="s">
        <v>144</v>
      </c>
      <c r="B161" s="5" t="s">
        <v>145</v>
      </c>
      <c r="C161" s="177"/>
      <c r="D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6">
        <f t="shared" ref="P161" si="44">SUM(D161:O161)</f>
        <v>0</v>
      </c>
      <c r="Q161" s="176" t="str">
        <f t="shared" si="38"/>
        <v/>
      </c>
      <c r="R161" s="246" t="str">
        <f t="shared" si="35"/>
        <v/>
      </c>
      <c r="S161" s="5"/>
    </row>
    <row r="162" spans="1:19" s="121" customFormat="1" x14ac:dyDescent="0.25">
      <c r="A162" s="6" t="s">
        <v>146</v>
      </c>
      <c r="B162" s="3" t="s">
        <v>147</v>
      </c>
      <c r="C162" s="178">
        <f t="shared" ref="C162:P162" si="45">SUM(C160:C161)</f>
        <v>-268159</v>
      </c>
      <c r="D162" s="178">
        <f t="shared" si="45"/>
        <v>-23301.400000000373</v>
      </c>
      <c r="E162" s="178">
        <f t="shared" si="45"/>
        <v>-22404.060000000522</v>
      </c>
      <c r="F162" s="178">
        <f t="shared" si="45"/>
        <v>-22477.36999999918</v>
      </c>
      <c r="G162" s="178">
        <f t="shared" si="45"/>
        <v>-25450.110000001267</v>
      </c>
      <c r="H162" s="178">
        <f t="shared" si="45"/>
        <v>-22634.199999999255</v>
      </c>
      <c r="I162" s="178">
        <f t="shared" si="45"/>
        <v>-23669.580000000075</v>
      </c>
      <c r="J162" s="178">
        <f t="shared" si="45"/>
        <v>-22785.720000000671</v>
      </c>
      <c r="K162" s="178">
        <f t="shared" si="45"/>
        <v>-23816.689999999478</v>
      </c>
      <c r="L162" s="178">
        <f t="shared" si="45"/>
        <v>-22938.210000000894</v>
      </c>
      <c r="M162" s="178">
        <f t="shared" si="45"/>
        <v>-23013.269999999553</v>
      </c>
      <c r="N162" s="178">
        <f t="shared" si="45"/>
        <v>-24037.629999998957</v>
      </c>
      <c r="O162" s="178">
        <f t="shared" si="45"/>
        <v>-23167.230000000447</v>
      </c>
      <c r="P162" s="178">
        <f t="shared" si="45"/>
        <v>-279695.47000000067</v>
      </c>
      <c r="Q162" s="178">
        <f t="shared" si="38"/>
        <v>-11536.470000000671</v>
      </c>
      <c r="R162" s="246">
        <f t="shared" si="35"/>
        <v>4.3021006194088843E-2</v>
      </c>
    </row>
    <row r="163" spans="1:19" x14ac:dyDescent="0.25">
      <c r="A163" s="1"/>
      <c r="B163" s="5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76"/>
      <c r="Q163" s="176" t="str">
        <f t="shared" si="38"/>
        <v/>
      </c>
      <c r="R163" s="246" t="str">
        <f t="shared" si="35"/>
        <v/>
      </c>
    </row>
    <row r="164" spans="1:19" ht="15.75" thickBot="1" x14ac:dyDescent="0.3">
      <c r="A164" s="1" t="s">
        <v>148</v>
      </c>
      <c r="B164" s="5" t="s">
        <v>149</v>
      </c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 t="str">
        <f t="shared" si="38"/>
        <v/>
      </c>
      <c r="R164" s="246" t="str">
        <f t="shared" si="35"/>
        <v/>
      </c>
    </row>
    <row r="165" spans="1:19" hidden="1" outlineLevel="1" x14ac:dyDescent="0.25">
      <c r="A165" s="7" t="s">
        <v>498</v>
      </c>
      <c r="B165" s="5" t="s">
        <v>499</v>
      </c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 t="str">
        <f t="shared" si="38"/>
        <v/>
      </c>
      <c r="R165" s="246" t="str">
        <f t="shared" si="35"/>
        <v/>
      </c>
    </row>
    <row r="166" spans="1:19" hidden="1" outlineLevel="1" x14ac:dyDescent="0.25">
      <c r="A166" s="7" t="s">
        <v>500</v>
      </c>
      <c r="B166" s="5" t="s">
        <v>501</v>
      </c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 t="str">
        <f t="shared" si="38"/>
        <v/>
      </c>
      <c r="R166" s="246" t="str">
        <f t="shared" si="35"/>
        <v/>
      </c>
    </row>
    <row r="167" spans="1:19" hidden="1" outlineLevel="1" x14ac:dyDescent="0.25">
      <c r="A167" s="7" t="s">
        <v>150</v>
      </c>
      <c r="B167" s="5" t="s">
        <v>502</v>
      </c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 t="str">
        <f t="shared" si="38"/>
        <v/>
      </c>
      <c r="R167" s="246" t="str">
        <f t="shared" si="35"/>
        <v/>
      </c>
    </row>
    <row r="168" spans="1:19" hidden="1" outlineLevel="1" x14ac:dyDescent="0.25">
      <c r="A168" s="7" t="s">
        <v>151</v>
      </c>
      <c r="B168" s="5" t="s">
        <v>503</v>
      </c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 t="str">
        <f t="shared" si="38"/>
        <v/>
      </c>
      <c r="R168" s="246" t="str">
        <f t="shared" si="35"/>
        <v/>
      </c>
    </row>
    <row r="169" spans="1:19" hidden="1" outlineLevel="1" x14ac:dyDescent="0.25">
      <c r="A169" s="7" t="s">
        <v>152</v>
      </c>
      <c r="B169" s="5" t="s">
        <v>504</v>
      </c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 t="str">
        <f t="shared" si="38"/>
        <v/>
      </c>
      <c r="R169" s="246" t="str">
        <f t="shared" si="35"/>
        <v/>
      </c>
    </row>
    <row r="170" spans="1:19" hidden="1" outlineLevel="1" x14ac:dyDescent="0.25">
      <c r="A170" s="7" t="s">
        <v>505</v>
      </c>
      <c r="B170" s="5" t="s">
        <v>506</v>
      </c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 t="str">
        <f t="shared" si="38"/>
        <v/>
      </c>
      <c r="R170" s="246" t="str">
        <f t="shared" si="35"/>
        <v/>
      </c>
    </row>
    <row r="171" spans="1:19" hidden="1" outlineLevel="1" x14ac:dyDescent="0.25">
      <c r="A171" s="7" t="s">
        <v>507</v>
      </c>
      <c r="B171" s="5" t="s">
        <v>508</v>
      </c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 t="str">
        <f t="shared" si="38"/>
        <v/>
      </c>
      <c r="R171" s="246" t="str">
        <f t="shared" si="35"/>
        <v/>
      </c>
    </row>
    <row r="172" spans="1:19" hidden="1" outlineLevel="1" x14ac:dyDescent="0.25">
      <c r="A172" s="7" t="s">
        <v>509</v>
      </c>
      <c r="B172" s="5" t="s">
        <v>510</v>
      </c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 t="str">
        <f t="shared" si="38"/>
        <v/>
      </c>
      <c r="R172" s="246" t="str">
        <f t="shared" si="35"/>
        <v/>
      </c>
    </row>
    <row r="173" spans="1:19" hidden="1" outlineLevel="1" x14ac:dyDescent="0.25">
      <c r="A173" s="7" t="s">
        <v>511</v>
      </c>
      <c r="B173" s="5" t="s">
        <v>512</v>
      </c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 t="str">
        <f t="shared" si="38"/>
        <v/>
      </c>
      <c r="R173" s="246" t="str">
        <f t="shared" si="35"/>
        <v/>
      </c>
    </row>
    <row r="174" spans="1:19" hidden="1" outlineLevel="1" x14ac:dyDescent="0.25">
      <c r="A174" s="7" t="s">
        <v>513</v>
      </c>
      <c r="B174" s="5" t="s">
        <v>514</v>
      </c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 t="str">
        <f t="shared" si="38"/>
        <v/>
      </c>
      <c r="R174" s="246" t="str">
        <f t="shared" si="35"/>
        <v/>
      </c>
    </row>
    <row r="175" spans="1:19" hidden="1" outlineLevel="1" x14ac:dyDescent="0.25">
      <c r="A175" s="7" t="s">
        <v>515</v>
      </c>
      <c r="B175" s="5" t="s">
        <v>516</v>
      </c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 t="str">
        <f t="shared" si="38"/>
        <v/>
      </c>
      <c r="R175" s="246" t="str">
        <f t="shared" si="35"/>
        <v/>
      </c>
    </row>
    <row r="176" spans="1:19" hidden="1" outlineLevel="1" x14ac:dyDescent="0.25">
      <c r="A176" s="7" t="s">
        <v>517</v>
      </c>
      <c r="B176" s="5" t="s">
        <v>518</v>
      </c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 t="str">
        <f t="shared" si="38"/>
        <v/>
      </c>
      <c r="R176" s="246" t="str">
        <f t="shared" si="35"/>
        <v/>
      </c>
    </row>
    <row r="177" spans="1:28" hidden="1" outlineLevel="1" x14ac:dyDescent="0.25">
      <c r="A177" s="7" t="s">
        <v>519</v>
      </c>
      <c r="B177" s="5" t="s">
        <v>520</v>
      </c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 t="str">
        <f t="shared" si="38"/>
        <v/>
      </c>
      <c r="R177" s="246" t="str">
        <f t="shared" si="35"/>
        <v/>
      </c>
    </row>
    <row r="178" spans="1:28" hidden="1" outlineLevel="1" x14ac:dyDescent="0.25">
      <c r="A178" s="7" t="s">
        <v>521</v>
      </c>
      <c r="B178" s="5" t="s">
        <v>522</v>
      </c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 t="str">
        <f t="shared" si="38"/>
        <v/>
      </c>
      <c r="R178" s="246" t="str">
        <f t="shared" si="35"/>
        <v/>
      </c>
    </row>
    <row r="179" spans="1:28" hidden="1" outlineLevel="1" x14ac:dyDescent="0.25">
      <c r="A179" s="7" t="s">
        <v>523</v>
      </c>
      <c r="B179" s="5" t="s">
        <v>524</v>
      </c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 t="str">
        <f t="shared" si="38"/>
        <v/>
      </c>
      <c r="R179" s="246" t="str">
        <f t="shared" si="35"/>
        <v/>
      </c>
    </row>
    <row r="180" spans="1:28" hidden="1" outlineLevel="1" x14ac:dyDescent="0.25">
      <c r="A180" s="7" t="s">
        <v>525</v>
      </c>
      <c r="B180" s="5" t="s">
        <v>526</v>
      </c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 t="str">
        <f t="shared" si="38"/>
        <v/>
      </c>
      <c r="R180" s="246" t="str">
        <f t="shared" si="35"/>
        <v/>
      </c>
    </row>
    <row r="181" spans="1:28" hidden="1" outlineLevel="1" x14ac:dyDescent="0.25">
      <c r="A181" s="7" t="s">
        <v>527</v>
      </c>
      <c r="B181" s="5" t="s">
        <v>528</v>
      </c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 t="str">
        <f t="shared" si="38"/>
        <v/>
      </c>
      <c r="R181" s="246" t="str">
        <f t="shared" si="35"/>
        <v/>
      </c>
    </row>
    <row r="182" spans="1:28" ht="15.75" hidden="1" outlineLevel="1" thickBot="1" x14ac:dyDescent="0.3">
      <c r="A182" s="7" t="s">
        <v>529</v>
      </c>
      <c r="B182" s="5" t="s">
        <v>530</v>
      </c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 t="str">
        <f t="shared" si="38"/>
        <v/>
      </c>
      <c r="R182" s="246" t="str">
        <f t="shared" si="35"/>
        <v/>
      </c>
    </row>
    <row r="183" spans="1:28" s="121" customFormat="1" collapsed="1" x14ac:dyDescent="0.25">
      <c r="A183" s="6" t="s">
        <v>153</v>
      </c>
      <c r="B183" s="3" t="s">
        <v>154</v>
      </c>
      <c r="C183" s="178">
        <f t="shared" ref="C183:P183" si="46">SUM(C165:C182)</f>
        <v>0</v>
      </c>
      <c r="D183" s="178">
        <f t="shared" si="46"/>
        <v>0</v>
      </c>
      <c r="E183" s="178">
        <f t="shared" si="46"/>
        <v>0</v>
      </c>
      <c r="F183" s="178">
        <f t="shared" si="46"/>
        <v>0</v>
      </c>
      <c r="G183" s="178">
        <f t="shared" si="46"/>
        <v>0</v>
      </c>
      <c r="H183" s="178">
        <f t="shared" si="46"/>
        <v>0</v>
      </c>
      <c r="I183" s="178">
        <f t="shared" si="46"/>
        <v>0</v>
      </c>
      <c r="J183" s="178">
        <f t="shared" si="46"/>
        <v>0</v>
      </c>
      <c r="K183" s="178">
        <f t="shared" si="46"/>
        <v>0</v>
      </c>
      <c r="L183" s="178">
        <f t="shared" si="46"/>
        <v>0</v>
      </c>
      <c r="M183" s="178">
        <f t="shared" si="46"/>
        <v>0</v>
      </c>
      <c r="N183" s="178">
        <f t="shared" si="46"/>
        <v>0</v>
      </c>
      <c r="O183" s="178">
        <f t="shared" si="46"/>
        <v>0</v>
      </c>
      <c r="P183" s="178">
        <f t="shared" si="46"/>
        <v>0</v>
      </c>
      <c r="Q183" s="178">
        <f t="shared" si="38"/>
        <v>0</v>
      </c>
      <c r="R183" s="246" t="str">
        <f t="shared" si="35"/>
        <v/>
      </c>
    </row>
    <row r="184" spans="1:28" x14ac:dyDescent="0.25">
      <c r="A184" s="1"/>
      <c r="B184" s="5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 t="str">
        <f t="shared" si="38"/>
        <v/>
      </c>
      <c r="R184" s="246" t="str">
        <f t="shared" si="35"/>
        <v/>
      </c>
    </row>
    <row r="185" spans="1:28" x14ac:dyDescent="0.25">
      <c r="A185" s="1" t="s">
        <v>155</v>
      </c>
      <c r="B185" s="5" t="s">
        <v>156</v>
      </c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 t="str">
        <f t="shared" si="38"/>
        <v/>
      </c>
      <c r="R185" s="246" t="str">
        <f t="shared" si="35"/>
        <v/>
      </c>
    </row>
    <row r="186" spans="1:28" outlineLevel="1" x14ac:dyDescent="0.25">
      <c r="A186" s="7" t="s">
        <v>467</v>
      </c>
      <c r="B186" s="5" t="s">
        <v>468</v>
      </c>
      <c r="C186" s="176">
        <f>-930*12</f>
        <v>-11160</v>
      </c>
      <c r="D186" s="176">
        <f>VLOOKUP($A$186,Distributions!$A$4:$F$21,6,FALSE)</f>
        <v>-1239.7724000000001</v>
      </c>
      <c r="E186" s="176">
        <f>D186+(C186*0.05525)</f>
        <v>-1856.3624</v>
      </c>
      <c r="F186" s="176">
        <f>VLOOKUP($A$186,Distributions!$A$4:$F$21,6,FALSE)</f>
        <v>-1239.7724000000001</v>
      </c>
      <c r="G186" s="176">
        <f>VLOOKUP($A$186,Distributions!$A$4:$F$21,6,FALSE)</f>
        <v>-1239.7724000000001</v>
      </c>
      <c r="H186" s="176">
        <f>VLOOKUP($A$186,Distributions!$A$4:$F$21,6,FALSE)</f>
        <v>-1239.7724000000001</v>
      </c>
      <c r="I186" s="176">
        <f>VLOOKUP($A$186,Distributions!$A$4:$F$21,6,FALSE)</f>
        <v>-1239.7724000000001</v>
      </c>
      <c r="J186" s="176">
        <f>VLOOKUP($A$186,Distributions!$A$4:$F$21,6,FALSE)</f>
        <v>-1239.7724000000001</v>
      </c>
      <c r="K186" s="176">
        <f>VLOOKUP($A$186,Distributions!$A$4:$F$21,6,FALSE)</f>
        <v>-1239.7724000000001</v>
      </c>
      <c r="L186" s="176">
        <f>VLOOKUP($A$186,Distributions!$A$4:$F$21,6,FALSE)</f>
        <v>-1239.7724000000001</v>
      </c>
      <c r="M186" s="176">
        <f>VLOOKUP($A$186,Distributions!$A$4:$F$21,6,FALSE)</f>
        <v>-1239.7724000000001</v>
      </c>
      <c r="N186" s="176">
        <f>VLOOKUP($A$186,Distributions!$A$4:$F$21,6,FALSE)</f>
        <v>-1239.7724000000001</v>
      </c>
      <c r="O186" s="176">
        <f>VLOOKUP($A$186,Distributions!$A$4:$F$21,6,FALSE)</f>
        <v>-1239.7724000000001</v>
      </c>
      <c r="P186" s="176">
        <f t="shared" ref="P186:P203" si="47">SUM(D186:O186)</f>
        <v>-15493.858799999998</v>
      </c>
      <c r="Q186" s="176">
        <f t="shared" si="38"/>
        <v>-4333.8587999999982</v>
      </c>
      <c r="R186" s="246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</row>
    <row r="187" spans="1:28" outlineLevel="1" x14ac:dyDescent="0.25">
      <c r="A187" s="7" t="s">
        <v>469</v>
      </c>
      <c r="B187" s="5" t="s">
        <v>470</v>
      </c>
      <c r="C187" s="176">
        <f>-465*12</f>
        <v>-5580</v>
      </c>
      <c r="D187" s="176">
        <f>VLOOKUP($A$187,Distributions!$A$4:$F$21,6,FALSE)</f>
        <v>-619.88620000000003</v>
      </c>
      <c r="E187" s="176">
        <f>D187+(C187*0.05525)</f>
        <v>-928.18119999999999</v>
      </c>
      <c r="F187" s="176">
        <f>VLOOKUP($A$187,Distributions!$A$4:$F$21,6,FALSE)</f>
        <v>-619.88620000000003</v>
      </c>
      <c r="G187" s="176">
        <f>VLOOKUP($A$187,Distributions!$A$4:$F$21,6,FALSE)</f>
        <v>-619.88620000000003</v>
      </c>
      <c r="H187" s="176">
        <f>VLOOKUP($A$187,Distributions!$A$4:$F$21,6,FALSE)</f>
        <v>-619.88620000000003</v>
      </c>
      <c r="I187" s="176">
        <f>VLOOKUP($A$187,Distributions!$A$4:$F$21,6,FALSE)</f>
        <v>-619.88620000000003</v>
      </c>
      <c r="J187" s="176">
        <f>VLOOKUP($A$187,Distributions!$A$4:$F$21,6,FALSE)</f>
        <v>-619.88620000000003</v>
      </c>
      <c r="K187" s="176">
        <f>VLOOKUP($A$187,Distributions!$A$4:$F$21,6,FALSE)</f>
        <v>-619.88620000000003</v>
      </c>
      <c r="L187" s="176">
        <f>VLOOKUP($A$187,Distributions!$A$4:$F$21,6,FALSE)</f>
        <v>-619.88620000000003</v>
      </c>
      <c r="M187" s="176">
        <f>VLOOKUP($A$187,Distributions!$A$4:$F$21,6,FALSE)</f>
        <v>-619.88620000000003</v>
      </c>
      <c r="N187" s="176">
        <f>VLOOKUP($A$187,Distributions!$A$4:$F$21,6,FALSE)</f>
        <v>-619.88620000000003</v>
      </c>
      <c r="O187" s="176">
        <f>VLOOKUP($A$187,Distributions!$A$4:$F$21,6,FALSE)</f>
        <v>-619.88620000000003</v>
      </c>
      <c r="P187" s="176">
        <f t="shared" si="47"/>
        <v>-7746.9293999999991</v>
      </c>
      <c r="Q187" s="176">
        <f t="shared" si="38"/>
        <v>-2166.9293999999991</v>
      </c>
      <c r="R187" s="246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</row>
    <row r="188" spans="1:28" outlineLevel="1" x14ac:dyDescent="0.25">
      <c r="A188" s="7" t="s">
        <v>157</v>
      </c>
      <c r="B188" s="5" t="s">
        <v>471</v>
      </c>
      <c r="C188" s="176">
        <v>-576</v>
      </c>
      <c r="D188" s="176">
        <f>VLOOKUP($A$188,Distributions!$A$4:$F$21,6,FALSE)</f>
        <v>-64.62313635000001</v>
      </c>
      <c r="E188" s="176">
        <v>-69.5</v>
      </c>
      <c r="F188" s="176">
        <f>VLOOKUP($A$188,Distributions!$A$4:$F$21,6,FALSE)</f>
        <v>-64.62313635000001</v>
      </c>
      <c r="G188" s="176">
        <f>VLOOKUP($A$188,Distributions!$A$4:$F$21,6,FALSE)</f>
        <v>-64.62313635000001</v>
      </c>
      <c r="H188" s="176">
        <f>VLOOKUP($A$188,Distributions!$A$4:$F$21,6,FALSE)</f>
        <v>-64.62313635000001</v>
      </c>
      <c r="I188" s="176">
        <f>VLOOKUP($A$188,Distributions!$A$4:$F$21,6,FALSE)</f>
        <v>-64.62313635000001</v>
      </c>
      <c r="J188" s="176">
        <f>VLOOKUP($A$188,Distributions!$A$4:$F$21,6,FALSE)</f>
        <v>-64.62313635000001</v>
      </c>
      <c r="K188" s="176">
        <f>VLOOKUP($A$188,Distributions!$A$4:$F$21,6,FALSE)</f>
        <v>-64.62313635000001</v>
      </c>
      <c r="L188" s="176">
        <f>VLOOKUP($A$188,Distributions!$A$4:$F$21,6,FALSE)</f>
        <v>-64.62313635000001</v>
      </c>
      <c r="M188" s="176">
        <f>VLOOKUP($A$188,Distributions!$A$4:$F$21,6,FALSE)</f>
        <v>-64.62313635000001</v>
      </c>
      <c r="N188" s="176">
        <f>VLOOKUP($A$188,Distributions!$A$4:$F$21,6,FALSE)</f>
        <v>-64.62313635000001</v>
      </c>
      <c r="O188" s="176">
        <f>VLOOKUP($A$188,Distributions!$A$4:$F$21,6,FALSE)</f>
        <v>-64.62313635000001</v>
      </c>
      <c r="P188" s="176">
        <f t="shared" si="47"/>
        <v>-780.35449984999991</v>
      </c>
      <c r="Q188" s="176">
        <f t="shared" si="38"/>
        <v>-204.35449984999991</v>
      </c>
      <c r="R188" s="246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</row>
    <row r="189" spans="1:28" outlineLevel="1" x14ac:dyDescent="0.25">
      <c r="A189" s="7" t="s">
        <v>158</v>
      </c>
      <c r="B189" s="5" t="s">
        <v>472</v>
      </c>
      <c r="C189" s="176">
        <v>-28200</v>
      </c>
      <c r="D189" s="176">
        <f>VLOOKUP($A$189,Distributions!$A$4:$F$21,6,FALSE)</f>
        <v>-3198.8452493250006</v>
      </c>
      <c r="E189" s="176">
        <f>D189+(C189*0.05525)</f>
        <v>-4756.8952493250008</v>
      </c>
      <c r="F189" s="176">
        <f>VLOOKUP($A$189,Distributions!$A$4:$F$21,6,FALSE)</f>
        <v>-3198.8452493250006</v>
      </c>
      <c r="G189" s="176">
        <f>VLOOKUP($A$189,Distributions!$A$4:$F$21,6,FALSE)</f>
        <v>-3198.8452493250006</v>
      </c>
      <c r="H189" s="176">
        <f>VLOOKUP($A$189,Distributions!$A$4:$F$21,6,FALSE)</f>
        <v>-3198.8452493250006</v>
      </c>
      <c r="I189" s="176">
        <f>VLOOKUP($A$189,Distributions!$A$4:$F$21,6,FALSE)</f>
        <v>-3198.8452493250006</v>
      </c>
      <c r="J189" s="176">
        <f>VLOOKUP($A$189,Distributions!$A$4:$F$21,6,FALSE)</f>
        <v>-3198.8452493250006</v>
      </c>
      <c r="K189" s="176">
        <f>VLOOKUP($A$189,Distributions!$A$4:$F$21,6,FALSE)</f>
        <v>-3198.8452493250006</v>
      </c>
      <c r="L189" s="176">
        <f>VLOOKUP($A$189,Distributions!$A$4:$F$21,6,FALSE)</f>
        <v>-3198.8452493250006</v>
      </c>
      <c r="M189" s="176">
        <f>VLOOKUP($A$189,Distributions!$A$4:$F$21,6,FALSE)</f>
        <v>-3198.8452493250006</v>
      </c>
      <c r="N189" s="176">
        <f>VLOOKUP($A$189,Distributions!$A$4:$F$21,6,FALSE)</f>
        <v>-3198.8452493250006</v>
      </c>
      <c r="O189" s="176">
        <f>VLOOKUP($A$189,Distributions!$A$4:$F$21,6,FALSE)</f>
        <v>-3198.8452493250006</v>
      </c>
      <c r="P189" s="176">
        <f t="shared" si="47"/>
        <v>-39944.19299190001</v>
      </c>
      <c r="Q189" s="176">
        <f t="shared" si="38"/>
        <v>-11744.19299190001</v>
      </c>
      <c r="R189" s="246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</row>
    <row r="190" spans="1:28" outlineLevel="1" x14ac:dyDescent="0.25">
      <c r="A190" s="7" t="s">
        <v>159</v>
      </c>
      <c r="B190" s="5" t="s">
        <v>473</v>
      </c>
      <c r="C190" s="176">
        <v>-28200</v>
      </c>
      <c r="D190" s="176">
        <f>VLOOKUP($A$190,Distributions!$A$4:$F$21,6,FALSE)</f>
        <v>-3198.8452493250006</v>
      </c>
      <c r="E190" s="176">
        <f>D190+(C190*0.05525)</f>
        <v>-4756.8952493250008</v>
      </c>
      <c r="F190" s="176">
        <f>VLOOKUP($A$190,Distributions!$A$4:$F$21,6,FALSE)</f>
        <v>-3198.8452493250006</v>
      </c>
      <c r="G190" s="176">
        <f>VLOOKUP($A$190,Distributions!$A$4:$F$21,6,FALSE)</f>
        <v>-3198.8452493250006</v>
      </c>
      <c r="H190" s="176">
        <f>VLOOKUP($A$190,Distributions!$A$4:$F$21,6,FALSE)</f>
        <v>-3198.8452493250006</v>
      </c>
      <c r="I190" s="176">
        <f>VLOOKUP($A$190,Distributions!$A$4:$F$21,6,FALSE)</f>
        <v>-3198.8452493250006</v>
      </c>
      <c r="J190" s="176">
        <f>VLOOKUP($A$190,Distributions!$A$4:$F$21,6,FALSE)</f>
        <v>-3198.8452493250006</v>
      </c>
      <c r="K190" s="176">
        <f>VLOOKUP($A$190,Distributions!$A$4:$F$21,6,FALSE)</f>
        <v>-3198.8452493250006</v>
      </c>
      <c r="L190" s="176">
        <f>VLOOKUP($A$190,Distributions!$A$4:$F$21,6,FALSE)</f>
        <v>-3198.8452493250006</v>
      </c>
      <c r="M190" s="176">
        <f>VLOOKUP($A$190,Distributions!$A$4:$F$21,6,FALSE)</f>
        <v>-3198.8452493250006</v>
      </c>
      <c r="N190" s="176">
        <f>VLOOKUP($A$190,Distributions!$A$4:$F$21,6,FALSE)</f>
        <v>-3198.8452493250006</v>
      </c>
      <c r="O190" s="176">
        <f>VLOOKUP($A$190,Distributions!$A$4:$F$21,6,FALSE)</f>
        <v>-3198.8452493250006</v>
      </c>
      <c r="P190" s="176">
        <f t="shared" si="47"/>
        <v>-39944.19299190001</v>
      </c>
      <c r="Q190" s="176">
        <f t="shared" si="38"/>
        <v>-11744.19299190001</v>
      </c>
      <c r="R190" s="246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</row>
    <row r="191" spans="1:28" outlineLevel="1" x14ac:dyDescent="0.25">
      <c r="A191" s="7" t="s">
        <v>474</v>
      </c>
      <c r="B191" s="5" t="s">
        <v>475</v>
      </c>
      <c r="C191" s="176">
        <v>-6972</v>
      </c>
      <c r="D191" s="176">
        <f>VLOOKUP($A$191,Distributions!$A$4:$F$21,6,FALSE)</f>
        <v>-774.85775000000012</v>
      </c>
      <c r="E191" s="176">
        <f t="shared" ref="E191:E192" si="48">D191+(C191*0.05525)</f>
        <v>-1160.0607500000001</v>
      </c>
      <c r="F191" s="176">
        <f>VLOOKUP($A$191,Distributions!$A$4:$F$21,6,FALSE)</f>
        <v>-774.85775000000012</v>
      </c>
      <c r="G191" s="176">
        <f>VLOOKUP($A$191,Distributions!$A$4:$F$21,6,FALSE)</f>
        <v>-774.85775000000012</v>
      </c>
      <c r="H191" s="176">
        <f>VLOOKUP($A$191,Distributions!$A$4:$F$21,6,FALSE)</f>
        <v>-774.85775000000012</v>
      </c>
      <c r="I191" s="176">
        <f>VLOOKUP($A$191,Distributions!$A$4:$F$21,6,FALSE)</f>
        <v>-774.85775000000012</v>
      </c>
      <c r="J191" s="176">
        <f>VLOOKUP($A$191,Distributions!$A$4:$F$21,6,FALSE)</f>
        <v>-774.85775000000012</v>
      </c>
      <c r="K191" s="176">
        <f>VLOOKUP($A$191,Distributions!$A$4:$F$21,6,FALSE)</f>
        <v>-774.85775000000012</v>
      </c>
      <c r="L191" s="176">
        <f>VLOOKUP($A$191,Distributions!$A$4:$F$21,6,FALSE)</f>
        <v>-774.85775000000012</v>
      </c>
      <c r="M191" s="176">
        <f>VLOOKUP($A$191,Distributions!$A$4:$F$21,6,FALSE)</f>
        <v>-774.85775000000012</v>
      </c>
      <c r="N191" s="176">
        <f>VLOOKUP($A$191,Distributions!$A$4:$F$21,6,FALSE)</f>
        <v>-774.85775000000012</v>
      </c>
      <c r="O191" s="176">
        <f>VLOOKUP($A$191,Distributions!$A$4:$F$21,6,FALSE)</f>
        <v>-774.85775000000012</v>
      </c>
      <c r="P191" s="176">
        <f t="shared" si="47"/>
        <v>-9683.4960000000028</v>
      </c>
      <c r="Q191" s="176">
        <f t="shared" si="38"/>
        <v>-2711.4960000000028</v>
      </c>
      <c r="R191" s="246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</row>
    <row r="192" spans="1:28" outlineLevel="1" x14ac:dyDescent="0.25">
      <c r="A192" s="7" t="s">
        <v>476</v>
      </c>
      <c r="B192" s="5" t="s">
        <v>477</v>
      </c>
      <c r="C192" s="176">
        <v>-11160</v>
      </c>
      <c r="D192" s="176">
        <f>VLOOKUP($A$192,Distributions!$A$4:$F$21,6,FALSE)</f>
        <v>-1239.7724000000001</v>
      </c>
      <c r="E192" s="176">
        <f t="shared" si="48"/>
        <v>-1856.3624</v>
      </c>
      <c r="F192" s="176">
        <f>VLOOKUP($A$192,Distributions!$A$4:$F$21,6,FALSE)</f>
        <v>-1239.7724000000001</v>
      </c>
      <c r="G192" s="176">
        <f>VLOOKUP($A$192,Distributions!$A$4:$F$21,6,FALSE)</f>
        <v>-1239.7724000000001</v>
      </c>
      <c r="H192" s="176">
        <f>VLOOKUP($A$192,Distributions!$A$4:$F$21,6,FALSE)</f>
        <v>-1239.7724000000001</v>
      </c>
      <c r="I192" s="176">
        <f>VLOOKUP($A$192,Distributions!$A$4:$F$21,6,FALSE)</f>
        <v>-1239.7724000000001</v>
      </c>
      <c r="J192" s="176">
        <f>VLOOKUP($A$192,Distributions!$A$4:$F$21,6,FALSE)</f>
        <v>-1239.7724000000001</v>
      </c>
      <c r="K192" s="176">
        <f>VLOOKUP($A$192,Distributions!$A$4:$F$21,6,FALSE)</f>
        <v>-1239.7724000000001</v>
      </c>
      <c r="L192" s="176">
        <f>VLOOKUP($A$192,Distributions!$A$4:$F$21,6,FALSE)</f>
        <v>-1239.7724000000001</v>
      </c>
      <c r="M192" s="176">
        <f>VLOOKUP($A$192,Distributions!$A$4:$F$21,6,FALSE)</f>
        <v>-1239.7724000000001</v>
      </c>
      <c r="N192" s="176">
        <f>VLOOKUP($A$192,Distributions!$A$4:$F$21,6,FALSE)</f>
        <v>-1239.7724000000001</v>
      </c>
      <c r="O192" s="176">
        <f>VLOOKUP($A$192,Distributions!$A$4:$F$21,6,FALSE)</f>
        <v>-1239.7724000000001</v>
      </c>
      <c r="P192" s="176">
        <f t="shared" si="47"/>
        <v>-15493.858799999998</v>
      </c>
      <c r="Q192" s="176">
        <f t="shared" si="38"/>
        <v>-4333.8587999999982</v>
      </c>
      <c r="R192" s="246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</row>
    <row r="193" spans="1:28" outlineLevel="1" x14ac:dyDescent="0.25">
      <c r="A193" s="7" t="s">
        <v>478</v>
      </c>
      <c r="B193" s="5" t="s">
        <v>479</v>
      </c>
      <c r="C193" s="176">
        <v>-2796</v>
      </c>
      <c r="D193" s="176">
        <f>VLOOKUP($A$193,Distributions!$A$4:$F$21,6,FALSE)</f>
        <v>-309.94310000000002</v>
      </c>
      <c r="E193" s="176">
        <f>D193+(C193*0.05525)</f>
        <v>-464.4221</v>
      </c>
      <c r="F193" s="176">
        <f>VLOOKUP($A$193,Distributions!$A$4:$F$21,6,FALSE)</f>
        <v>-309.94310000000002</v>
      </c>
      <c r="G193" s="176">
        <f>VLOOKUP($A$193,Distributions!$A$4:$F$21,6,FALSE)</f>
        <v>-309.94310000000002</v>
      </c>
      <c r="H193" s="176">
        <f>VLOOKUP($A$193,Distributions!$A$4:$F$21,6,FALSE)</f>
        <v>-309.94310000000002</v>
      </c>
      <c r="I193" s="176">
        <f>VLOOKUP($A$193,Distributions!$A$4:$F$21,6,FALSE)</f>
        <v>-309.94310000000002</v>
      </c>
      <c r="J193" s="176">
        <f>VLOOKUP($A$193,Distributions!$A$4:$F$21,6,FALSE)</f>
        <v>-309.94310000000002</v>
      </c>
      <c r="K193" s="176">
        <f>VLOOKUP($A$193,Distributions!$A$4:$F$21,6,FALSE)</f>
        <v>-309.94310000000002</v>
      </c>
      <c r="L193" s="176">
        <f>VLOOKUP($A$193,Distributions!$A$4:$F$21,6,FALSE)</f>
        <v>-309.94310000000002</v>
      </c>
      <c r="M193" s="176">
        <f>VLOOKUP($A$193,Distributions!$A$4:$F$21,6,FALSE)</f>
        <v>-309.94310000000002</v>
      </c>
      <c r="N193" s="176">
        <f>VLOOKUP($A$193,Distributions!$A$4:$F$21,6,FALSE)</f>
        <v>-309.94310000000002</v>
      </c>
      <c r="O193" s="176">
        <f>VLOOKUP($A$193,Distributions!$A$4:$F$21,6,FALSE)</f>
        <v>-309.94310000000002</v>
      </c>
      <c r="P193" s="176">
        <f t="shared" si="47"/>
        <v>-3873.7961999999998</v>
      </c>
      <c r="Q193" s="176">
        <f t="shared" si="38"/>
        <v>-1077.7961999999998</v>
      </c>
      <c r="R193" s="246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</row>
    <row r="194" spans="1:28" outlineLevel="1" x14ac:dyDescent="0.25">
      <c r="A194" s="7" t="s">
        <v>480</v>
      </c>
      <c r="B194" s="5" t="s">
        <v>481</v>
      </c>
      <c r="C194" s="176">
        <v>-27300</v>
      </c>
      <c r="D194" s="176">
        <f>VLOOKUP($A$194,Distributions!$A$4:$F$21,6,FALSE)</f>
        <v>-3099.4310000000005</v>
      </c>
      <c r="E194" s="176">
        <f>D194+(C194*0.05525)</f>
        <v>-4607.7560000000003</v>
      </c>
      <c r="F194" s="176">
        <f>VLOOKUP($A$194,Distributions!$A$4:$F$21,6,FALSE)</f>
        <v>-3099.4310000000005</v>
      </c>
      <c r="G194" s="176">
        <f>VLOOKUP($A$194,Distributions!$A$4:$F$21,6,FALSE)</f>
        <v>-3099.4310000000005</v>
      </c>
      <c r="H194" s="176">
        <f>VLOOKUP($A$194,Distributions!$A$4:$F$21,6,FALSE)</f>
        <v>-3099.4310000000005</v>
      </c>
      <c r="I194" s="176">
        <f>VLOOKUP($A$194,Distributions!$A$4:$F$21,6,FALSE)</f>
        <v>-3099.4310000000005</v>
      </c>
      <c r="J194" s="176">
        <f>VLOOKUP($A$194,Distributions!$A$4:$F$21,6,FALSE)</f>
        <v>-3099.4310000000005</v>
      </c>
      <c r="K194" s="176">
        <f>VLOOKUP($A$194,Distributions!$A$4:$F$21,6,FALSE)</f>
        <v>-3099.4310000000005</v>
      </c>
      <c r="L194" s="176">
        <f>VLOOKUP($A$194,Distributions!$A$4:$F$21,6,FALSE)</f>
        <v>-3099.4310000000005</v>
      </c>
      <c r="M194" s="176">
        <f>VLOOKUP($A$194,Distributions!$A$4:$F$21,6,FALSE)</f>
        <v>-3099.4310000000005</v>
      </c>
      <c r="N194" s="176">
        <f>VLOOKUP($A$194,Distributions!$A$4:$F$21,6,FALSE)</f>
        <v>-3099.4310000000005</v>
      </c>
      <c r="O194" s="176">
        <f>VLOOKUP($A$194,Distributions!$A$4:$F$21,6,FALSE)</f>
        <v>-3099.4310000000005</v>
      </c>
      <c r="P194" s="176">
        <f t="shared" si="47"/>
        <v>-38701.497000000003</v>
      </c>
      <c r="Q194" s="176">
        <f t="shared" si="38"/>
        <v>-11401.497000000003</v>
      </c>
      <c r="R194" s="246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</row>
    <row r="195" spans="1:28" outlineLevel="1" x14ac:dyDescent="0.25">
      <c r="A195" s="7" t="s">
        <v>482</v>
      </c>
      <c r="B195" s="5" t="s">
        <v>483</v>
      </c>
      <c r="C195" s="176">
        <v>-5580</v>
      </c>
      <c r="D195" s="176">
        <f>VLOOKUP($A$195,Distributions!$A$4:$F$21,6,FALSE)</f>
        <v>-619.88620000000003</v>
      </c>
      <c r="E195" s="176">
        <v>-666.67</v>
      </c>
      <c r="F195" s="176">
        <f>VLOOKUP($A$195,Distributions!$A$4:$F$21,6,FALSE)</f>
        <v>-619.88620000000003</v>
      </c>
      <c r="G195" s="176">
        <f>VLOOKUP($A$195,Distributions!$A$4:$F$21,6,FALSE)</f>
        <v>-619.88620000000003</v>
      </c>
      <c r="H195" s="176">
        <f>VLOOKUP($A$195,Distributions!$A$4:$F$21,6,FALSE)</f>
        <v>-619.88620000000003</v>
      </c>
      <c r="I195" s="176">
        <f>VLOOKUP($A$195,Distributions!$A$4:$F$21,6,FALSE)</f>
        <v>-619.88620000000003</v>
      </c>
      <c r="J195" s="176">
        <f>VLOOKUP($A$195,Distributions!$A$4:$F$21,6,FALSE)</f>
        <v>-619.88620000000003</v>
      </c>
      <c r="K195" s="176">
        <f>VLOOKUP($A$195,Distributions!$A$4:$F$21,6,FALSE)</f>
        <v>-619.88620000000003</v>
      </c>
      <c r="L195" s="176">
        <f>VLOOKUP($A$195,Distributions!$A$4:$F$21,6,FALSE)</f>
        <v>-619.88620000000003</v>
      </c>
      <c r="M195" s="176">
        <f>VLOOKUP($A$195,Distributions!$A$4:$F$21,6,FALSE)</f>
        <v>-619.88620000000003</v>
      </c>
      <c r="N195" s="176">
        <f>VLOOKUP($A$195,Distributions!$A$4:$F$21,6,FALSE)</f>
        <v>-619.88620000000003</v>
      </c>
      <c r="O195" s="176">
        <f>VLOOKUP($A$195,Distributions!$A$4:$F$21,6,FALSE)</f>
        <v>-619.88620000000003</v>
      </c>
      <c r="P195" s="176">
        <f t="shared" si="47"/>
        <v>-7485.4181999999992</v>
      </c>
      <c r="Q195" s="176">
        <f t="shared" si="38"/>
        <v>-1905.4181999999992</v>
      </c>
      <c r="R195" s="246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</row>
    <row r="196" spans="1:28" outlineLevel="1" x14ac:dyDescent="0.25">
      <c r="A196" s="7" t="s">
        <v>484</v>
      </c>
      <c r="B196" s="5" t="s">
        <v>485</v>
      </c>
      <c r="C196" s="176">
        <v>-27300</v>
      </c>
      <c r="D196" s="176">
        <f>VLOOKUP($A$196,Distributions!$A$4:$F$21,6,FALSE)</f>
        <v>-3099.4310000000005</v>
      </c>
      <c r="E196" s="176">
        <f>D196+(C196*0.05525)</f>
        <v>-4607.7560000000003</v>
      </c>
      <c r="F196" s="176">
        <f>VLOOKUP($A$196,Distributions!$A$4:$F$21,6,FALSE)</f>
        <v>-3099.4310000000005</v>
      </c>
      <c r="G196" s="176">
        <f>VLOOKUP($A$196,Distributions!$A$4:$F$21,6,FALSE)</f>
        <v>-3099.4310000000005</v>
      </c>
      <c r="H196" s="176">
        <f>VLOOKUP($A$196,Distributions!$A$4:$F$21,6,FALSE)</f>
        <v>-3099.4310000000005</v>
      </c>
      <c r="I196" s="176">
        <f>VLOOKUP($A$196,Distributions!$A$4:$F$21,6,FALSE)</f>
        <v>-3099.4310000000005</v>
      </c>
      <c r="J196" s="176">
        <f>VLOOKUP($A$196,Distributions!$A$4:$F$21,6,FALSE)</f>
        <v>-3099.4310000000005</v>
      </c>
      <c r="K196" s="176">
        <f>VLOOKUP($A$196,Distributions!$A$4:$F$21,6,FALSE)</f>
        <v>-3099.4310000000005</v>
      </c>
      <c r="L196" s="176">
        <f>VLOOKUP($A$196,Distributions!$A$4:$F$21,6,FALSE)</f>
        <v>-3099.4310000000005</v>
      </c>
      <c r="M196" s="176">
        <f>VLOOKUP($A$196,Distributions!$A$4:$F$21,6,FALSE)</f>
        <v>-3099.4310000000005</v>
      </c>
      <c r="N196" s="176">
        <f>VLOOKUP($A$196,Distributions!$A$4:$F$21,6,FALSE)</f>
        <v>-3099.4310000000005</v>
      </c>
      <c r="O196" s="176">
        <f>VLOOKUP($A$196,Distributions!$A$4:$F$21,6,FALSE)</f>
        <v>-3099.4310000000005</v>
      </c>
      <c r="P196" s="176">
        <f t="shared" si="47"/>
        <v>-38701.497000000003</v>
      </c>
      <c r="Q196" s="176">
        <f t="shared" si="38"/>
        <v>-11401.497000000003</v>
      </c>
      <c r="R196" s="246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</row>
    <row r="197" spans="1:28" outlineLevel="1" x14ac:dyDescent="0.25">
      <c r="A197" s="7" t="s">
        <v>531</v>
      </c>
      <c r="B197" s="5" t="s">
        <v>532</v>
      </c>
      <c r="C197" s="176">
        <v>-5580</v>
      </c>
      <c r="D197" s="176">
        <f>VLOOKUP($A$197,Distributions!$A$4:$F$21,6,FALSE)</f>
        <v>-619.88620000000003</v>
      </c>
      <c r="E197" s="176">
        <v>-666.67</v>
      </c>
      <c r="F197" s="176">
        <f>VLOOKUP($A$197,Distributions!$A$4:$F$21,6,FALSE)</f>
        <v>-619.88620000000003</v>
      </c>
      <c r="G197" s="176">
        <f>VLOOKUP($A$197,Distributions!$A$4:$F$21,6,FALSE)</f>
        <v>-619.88620000000003</v>
      </c>
      <c r="H197" s="176">
        <f>VLOOKUP($A$197,Distributions!$A$4:$F$21,6,FALSE)</f>
        <v>-619.88620000000003</v>
      </c>
      <c r="I197" s="176">
        <f>VLOOKUP($A$197,Distributions!$A$4:$F$21,6,FALSE)</f>
        <v>-619.88620000000003</v>
      </c>
      <c r="J197" s="176">
        <f>VLOOKUP($A$197,Distributions!$A$4:$F$21,6,FALSE)</f>
        <v>-619.88620000000003</v>
      </c>
      <c r="K197" s="176">
        <f>VLOOKUP($A$197,Distributions!$A$4:$F$21,6,FALSE)</f>
        <v>-619.88620000000003</v>
      </c>
      <c r="L197" s="176">
        <f>VLOOKUP($A$197,Distributions!$A$4:$F$21,6,FALSE)</f>
        <v>-619.88620000000003</v>
      </c>
      <c r="M197" s="176">
        <f>VLOOKUP($A$197,Distributions!$A$4:$F$21,6,FALSE)</f>
        <v>-619.88620000000003</v>
      </c>
      <c r="N197" s="176">
        <f>VLOOKUP($A$197,Distributions!$A$4:$F$21,6,FALSE)</f>
        <v>-619.88620000000003</v>
      </c>
      <c r="O197" s="176">
        <f>VLOOKUP($A$197,Distributions!$A$4:$F$21,6,FALSE)</f>
        <v>-619.88620000000003</v>
      </c>
      <c r="P197" s="176">
        <f t="shared" si="47"/>
        <v>-7485.4181999999992</v>
      </c>
      <c r="Q197" s="176">
        <f t="shared" si="38"/>
        <v>-1905.4181999999992</v>
      </c>
      <c r="R197" s="246"/>
      <c r="S197" s="188"/>
      <c r="T197" s="188"/>
      <c r="U197" s="188"/>
      <c r="V197" s="188"/>
      <c r="W197" s="188"/>
      <c r="X197" s="188"/>
      <c r="Y197" s="188"/>
      <c r="Z197" s="188"/>
      <c r="AA197" s="188"/>
      <c r="AB197" s="188"/>
    </row>
    <row r="198" spans="1:28" outlineLevel="1" x14ac:dyDescent="0.25">
      <c r="A198" s="7" t="s">
        <v>486</v>
      </c>
      <c r="B198" s="5" t="s">
        <v>487</v>
      </c>
      <c r="C198" s="176">
        <v>-11160</v>
      </c>
      <c r="D198" s="176">
        <f>VLOOKUP($A$198,Distributions!$A$4:$F$21,6,FALSE)</f>
        <v>-1239.7724000000001</v>
      </c>
      <c r="E198" s="176">
        <f t="shared" ref="E198:E203" si="49">D198+(C198*0.05525)</f>
        <v>-1856.3624</v>
      </c>
      <c r="F198" s="176">
        <f>VLOOKUP($A$198,Distributions!$A$4:$F$21,6,FALSE)</f>
        <v>-1239.7724000000001</v>
      </c>
      <c r="G198" s="176">
        <f>VLOOKUP($A$198,Distributions!$A$4:$F$21,6,FALSE)</f>
        <v>-1239.7724000000001</v>
      </c>
      <c r="H198" s="176">
        <f>VLOOKUP($A$198,Distributions!$A$4:$F$21,6,FALSE)</f>
        <v>-1239.7724000000001</v>
      </c>
      <c r="I198" s="176">
        <f>VLOOKUP($A$198,Distributions!$A$4:$F$21,6,FALSE)</f>
        <v>-1239.7724000000001</v>
      </c>
      <c r="J198" s="176">
        <f>VLOOKUP($A$198,Distributions!$A$4:$F$21,6,FALSE)</f>
        <v>-1239.7724000000001</v>
      </c>
      <c r="K198" s="176">
        <f>VLOOKUP($A$198,Distributions!$A$4:$F$21,6,FALSE)</f>
        <v>-1239.7724000000001</v>
      </c>
      <c r="L198" s="176">
        <f>VLOOKUP($A$198,Distributions!$A$4:$F$21,6,FALSE)</f>
        <v>-1239.7724000000001</v>
      </c>
      <c r="M198" s="176">
        <f>VLOOKUP($A$198,Distributions!$A$4:$F$21,6,FALSE)</f>
        <v>-1239.7724000000001</v>
      </c>
      <c r="N198" s="176">
        <f>VLOOKUP($A$198,Distributions!$A$4:$F$21,6,FALSE)</f>
        <v>-1239.7724000000001</v>
      </c>
      <c r="O198" s="176">
        <f>VLOOKUP($A$198,Distributions!$A$4:$F$21,6,FALSE)</f>
        <v>-1239.7724000000001</v>
      </c>
      <c r="P198" s="176">
        <f t="shared" si="47"/>
        <v>-15493.858799999998</v>
      </c>
      <c r="Q198" s="176">
        <f t="shared" si="38"/>
        <v>-4333.8587999999982</v>
      </c>
      <c r="R198" s="246"/>
      <c r="S198" s="188"/>
      <c r="T198" s="188"/>
      <c r="U198" s="188"/>
      <c r="V198" s="188"/>
      <c r="W198" s="188"/>
      <c r="X198" s="188"/>
      <c r="Y198" s="188"/>
      <c r="Z198" s="188"/>
      <c r="AA198" s="188"/>
      <c r="AB198" s="188"/>
    </row>
    <row r="199" spans="1:28" outlineLevel="1" x14ac:dyDescent="0.25">
      <c r="A199" s="7" t="s">
        <v>488</v>
      </c>
      <c r="B199" s="5" t="s">
        <v>489</v>
      </c>
      <c r="C199" s="176">
        <v>-27300</v>
      </c>
      <c r="D199" s="176">
        <f>VLOOKUP($A$199,Distributions!$A$4:$F$21,6,FALSE)</f>
        <v>-3099.4310000000005</v>
      </c>
      <c r="E199" s="176">
        <f t="shared" si="49"/>
        <v>-4607.7560000000003</v>
      </c>
      <c r="F199" s="176">
        <f>VLOOKUP($A$199,Distributions!$A$4:$F$21,6,FALSE)</f>
        <v>-3099.4310000000005</v>
      </c>
      <c r="G199" s="176">
        <f>VLOOKUP($A$199,Distributions!$A$4:$F$21,6,FALSE)</f>
        <v>-3099.4310000000005</v>
      </c>
      <c r="H199" s="176">
        <f>VLOOKUP($A$199,Distributions!$A$4:$F$21,6,FALSE)</f>
        <v>-3099.4310000000005</v>
      </c>
      <c r="I199" s="176">
        <f>VLOOKUP($A$199,Distributions!$A$4:$F$21,6,FALSE)</f>
        <v>-3099.4310000000005</v>
      </c>
      <c r="J199" s="176">
        <f>VLOOKUP($A$199,Distributions!$A$4:$F$21,6,FALSE)</f>
        <v>-3099.4310000000005</v>
      </c>
      <c r="K199" s="176">
        <f>VLOOKUP($A$199,Distributions!$A$4:$F$21,6,FALSE)</f>
        <v>-3099.4310000000005</v>
      </c>
      <c r="L199" s="176">
        <f>VLOOKUP($A$199,Distributions!$A$4:$F$21,6,FALSE)</f>
        <v>-3099.4310000000005</v>
      </c>
      <c r="M199" s="176">
        <f>VLOOKUP($A$199,Distributions!$A$4:$F$21,6,FALSE)</f>
        <v>-3099.4310000000005</v>
      </c>
      <c r="N199" s="176">
        <f>VLOOKUP($A$199,Distributions!$A$4:$F$21,6,FALSE)</f>
        <v>-3099.4310000000005</v>
      </c>
      <c r="O199" s="176">
        <f>VLOOKUP($A$199,Distributions!$A$4:$F$21,6,FALSE)</f>
        <v>-3099.4310000000005</v>
      </c>
      <c r="P199" s="176">
        <f t="shared" si="47"/>
        <v>-38701.497000000003</v>
      </c>
      <c r="Q199" s="176">
        <f t="shared" si="38"/>
        <v>-11401.497000000003</v>
      </c>
      <c r="R199" s="246"/>
      <c r="S199" s="188"/>
      <c r="T199" s="188"/>
      <c r="U199" s="188"/>
      <c r="V199" s="188"/>
      <c r="W199" s="188"/>
      <c r="X199" s="188"/>
      <c r="Y199" s="188"/>
      <c r="Z199" s="188"/>
      <c r="AA199" s="188"/>
      <c r="AB199" s="188"/>
    </row>
    <row r="200" spans="1:28" outlineLevel="1" x14ac:dyDescent="0.25">
      <c r="A200" s="7" t="s">
        <v>490</v>
      </c>
      <c r="B200" s="5" t="s">
        <v>491</v>
      </c>
      <c r="C200" s="176">
        <v>-2796</v>
      </c>
      <c r="D200" s="176">
        <f>VLOOKUP($A$200,Distributions!$A$4:$F$21,6,FALSE)</f>
        <v>-309.94310000000002</v>
      </c>
      <c r="E200" s="176">
        <f t="shared" si="49"/>
        <v>-464.4221</v>
      </c>
      <c r="F200" s="176">
        <f>VLOOKUP($A$200,Distributions!$A$4:$F$21,6,FALSE)</f>
        <v>-309.94310000000002</v>
      </c>
      <c r="G200" s="176">
        <f>VLOOKUP($A$200,Distributions!$A$4:$F$21,6,FALSE)</f>
        <v>-309.94310000000002</v>
      </c>
      <c r="H200" s="176">
        <f>VLOOKUP($A$200,Distributions!$A$4:$F$21,6,FALSE)</f>
        <v>-309.94310000000002</v>
      </c>
      <c r="I200" s="176">
        <f>VLOOKUP($A$200,Distributions!$A$4:$F$21,6,FALSE)</f>
        <v>-309.94310000000002</v>
      </c>
      <c r="J200" s="176">
        <f>VLOOKUP($A$200,Distributions!$A$4:$F$21,6,FALSE)</f>
        <v>-309.94310000000002</v>
      </c>
      <c r="K200" s="176">
        <f>VLOOKUP($A$200,Distributions!$A$4:$F$21,6,FALSE)</f>
        <v>-309.94310000000002</v>
      </c>
      <c r="L200" s="176">
        <f>VLOOKUP($A$200,Distributions!$A$4:$F$21,6,FALSE)</f>
        <v>-309.94310000000002</v>
      </c>
      <c r="M200" s="176">
        <f>VLOOKUP($A$200,Distributions!$A$4:$F$21,6,FALSE)</f>
        <v>-309.94310000000002</v>
      </c>
      <c r="N200" s="176">
        <f>VLOOKUP($A$200,Distributions!$A$4:$F$21,6,FALSE)</f>
        <v>-309.94310000000002</v>
      </c>
      <c r="O200" s="176">
        <f>VLOOKUP($A$200,Distributions!$A$4:$F$21,6,FALSE)</f>
        <v>-309.94310000000002</v>
      </c>
      <c r="P200" s="176">
        <f t="shared" si="47"/>
        <v>-3873.7961999999998</v>
      </c>
      <c r="Q200" s="176">
        <f t="shared" si="38"/>
        <v>-1077.7961999999998</v>
      </c>
      <c r="R200" s="246"/>
      <c r="S200" s="188"/>
      <c r="T200" s="188"/>
      <c r="U200" s="188"/>
      <c r="V200" s="188"/>
      <c r="W200" s="188"/>
      <c r="X200" s="188"/>
      <c r="Y200" s="188"/>
      <c r="Z200" s="188"/>
      <c r="AA200" s="188"/>
      <c r="AB200" s="188"/>
    </row>
    <row r="201" spans="1:28" outlineLevel="1" x14ac:dyDescent="0.25">
      <c r="A201" s="7" t="s">
        <v>492</v>
      </c>
      <c r="B201" s="5" t="s">
        <v>493</v>
      </c>
      <c r="C201" s="176">
        <v>-5580</v>
      </c>
      <c r="D201" s="176">
        <f>VLOOKUP($A$201,Distributions!$A$4:$F$21,6,FALSE)</f>
        <v>-619.88620000000003</v>
      </c>
      <c r="E201" s="176">
        <f t="shared" si="49"/>
        <v>-928.18119999999999</v>
      </c>
      <c r="F201" s="176">
        <f>VLOOKUP($A$201,Distributions!$A$4:$F$21,6,FALSE)</f>
        <v>-619.88620000000003</v>
      </c>
      <c r="G201" s="176">
        <f>VLOOKUP($A$201,Distributions!$A$4:$F$21,6,FALSE)</f>
        <v>-619.88620000000003</v>
      </c>
      <c r="H201" s="176">
        <f>VLOOKUP($A$201,Distributions!$A$4:$F$21,6,FALSE)</f>
        <v>-619.88620000000003</v>
      </c>
      <c r="I201" s="176">
        <f>VLOOKUP($A$201,Distributions!$A$4:$F$21,6,FALSE)</f>
        <v>-619.88620000000003</v>
      </c>
      <c r="J201" s="176">
        <f>VLOOKUP($A$201,Distributions!$A$4:$F$21,6,FALSE)</f>
        <v>-619.88620000000003</v>
      </c>
      <c r="K201" s="176">
        <f>VLOOKUP($A$201,Distributions!$A$4:$F$21,6,FALSE)</f>
        <v>-619.88620000000003</v>
      </c>
      <c r="L201" s="176">
        <f>VLOOKUP($A$201,Distributions!$A$4:$F$21,6,FALSE)</f>
        <v>-619.88620000000003</v>
      </c>
      <c r="M201" s="176">
        <f>VLOOKUP($A$201,Distributions!$A$4:$F$21,6,FALSE)</f>
        <v>-619.88620000000003</v>
      </c>
      <c r="N201" s="176">
        <f>VLOOKUP($A$201,Distributions!$A$4:$F$21,6,FALSE)</f>
        <v>-619.88620000000003</v>
      </c>
      <c r="O201" s="176">
        <f>VLOOKUP($A$201,Distributions!$A$4:$F$21,6,FALSE)</f>
        <v>-619.88620000000003</v>
      </c>
      <c r="P201" s="176">
        <f t="shared" si="47"/>
        <v>-7746.9293999999991</v>
      </c>
      <c r="Q201" s="176">
        <f t="shared" si="38"/>
        <v>-2166.9293999999991</v>
      </c>
      <c r="R201" s="246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</row>
    <row r="202" spans="1:28" outlineLevel="1" x14ac:dyDescent="0.25">
      <c r="A202" s="7" t="s">
        <v>494</v>
      </c>
      <c r="B202" s="5" t="s">
        <v>495</v>
      </c>
      <c r="C202" s="176">
        <v>-77124</v>
      </c>
      <c r="D202" s="176">
        <f>VLOOKUP($A$202,Distributions!$A$4:$F$21,6,FALSE)</f>
        <v>-8569.9267150000014</v>
      </c>
      <c r="E202" s="176">
        <f t="shared" si="49"/>
        <v>-12831.027715</v>
      </c>
      <c r="F202" s="176">
        <f>VLOOKUP($A$202,Distributions!$A$4:$F$21,6,FALSE)</f>
        <v>-8569.9267150000014</v>
      </c>
      <c r="G202" s="176">
        <f>VLOOKUP($A$202,Distributions!$A$4:$F$21,6,FALSE)</f>
        <v>-8569.9267150000014</v>
      </c>
      <c r="H202" s="176">
        <f>VLOOKUP($A$202,Distributions!$A$4:$F$21,6,FALSE)</f>
        <v>-8569.9267150000014</v>
      </c>
      <c r="I202" s="176">
        <f>VLOOKUP($A$202,Distributions!$A$4:$F$21,6,FALSE)</f>
        <v>-8569.9267150000014</v>
      </c>
      <c r="J202" s="176">
        <f>VLOOKUP($A$202,Distributions!$A$4:$F$21,6,FALSE)</f>
        <v>-8569.9267150000014</v>
      </c>
      <c r="K202" s="176">
        <f>VLOOKUP($A$202,Distributions!$A$4:$F$21,6,FALSE)</f>
        <v>-8569.9267150000014</v>
      </c>
      <c r="L202" s="176">
        <f>VLOOKUP($A$202,Distributions!$A$4:$F$21,6,FALSE)</f>
        <v>-8569.9267150000014</v>
      </c>
      <c r="M202" s="176">
        <f>VLOOKUP($A$202,Distributions!$A$4:$F$21,6,FALSE)</f>
        <v>-8569.9267150000014</v>
      </c>
      <c r="N202" s="176">
        <f>VLOOKUP($A$202,Distributions!$A$4:$F$21,6,FALSE)</f>
        <v>-8569.9267150000014</v>
      </c>
      <c r="O202" s="176">
        <f>VLOOKUP($A$202,Distributions!$A$4:$F$21,6,FALSE)</f>
        <v>-8569.9267150000014</v>
      </c>
      <c r="P202" s="176">
        <f t="shared" si="47"/>
        <v>-107100.22158000004</v>
      </c>
      <c r="Q202" s="176">
        <f t="shared" si="38"/>
        <v>-29976.221580000041</v>
      </c>
      <c r="R202" s="246"/>
      <c r="S202" s="188"/>
      <c r="T202" s="188"/>
      <c r="U202" s="188"/>
      <c r="V202" s="188"/>
      <c r="W202" s="188"/>
      <c r="X202" s="188"/>
      <c r="Y202" s="188"/>
      <c r="Z202" s="188"/>
      <c r="AA202" s="188"/>
      <c r="AB202" s="188"/>
    </row>
    <row r="203" spans="1:28" ht="15.75" outlineLevel="1" thickBot="1" x14ac:dyDescent="0.3">
      <c r="A203" s="7" t="s">
        <v>496</v>
      </c>
      <c r="B203" s="5" t="s">
        <v>497</v>
      </c>
      <c r="C203" s="176">
        <v>-30636</v>
      </c>
      <c r="D203" s="176">
        <f>VLOOKUP($A$203,Distributions!$A$4:$F$21,6,FALSE)</f>
        <v>-3409.3741000000005</v>
      </c>
      <c r="E203" s="176">
        <f t="shared" si="49"/>
        <v>-5102.0131000000001</v>
      </c>
      <c r="F203" s="176">
        <f>VLOOKUP($A$203,Distributions!$A$4:$F$21,6,FALSE)</f>
        <v>-3409.3741000000005</v>
      </c>
      <c r="G203" s="176">
        <f>VLOOKUP($A$203,Distributions!$A$4:$F$21,6,FALSE)</f>
        <v>-3409.3741000000005</v>
      </c>
      <c r="H203" s="176">
        <f>VLOOKUP($A$203,Distributions!$A$4:$F$21,6,FALSE)</f>
        <v>-3409.3741000000005</v>
      </c>
      <c r="I203" s="176">
        <f>VLOOKUP($A$203,Distributions!$A$4:$F$21,6,FALSE)</f>
        <v>-3409.3741000000005</v>
      </c>
      <c r="J203" s="176">
        <f>VLOOKUP($A$203,Distributions!$A$4:$F$21,6,FALSE)</f>
        <v>-3409.3741000000005</v>
      </c>
      <c r="K203" s="176">
        <f>VLOOKUP($A$203,Distributions!$A$4:$F$21,6,FALSE)</f>
        <v>-3409.3741000000005</v>
      </c>
      <c r="L203" s="176">
        <f>VLOOKUP($A$203,Distributions!$A$4:$F$21,6,FALSE)</f>
        <v>-3409.3741000000005</v>
      </c>
      <c r="M203" s="176">
        <f>VLOOKUP($A$203,Distributions!$A$4:$F$21,6,FALSE)</f>
        <v>-3409.3741000000005</v>
      </c>
      <c r="N203" s="176">
        <f>VLOOKUP($A$203,Distributions!$A$4:$F$21,6,FALSE)</f>
        <v>-3409.3741000000005</v>
      </c>
      <c r="O203" s="176">
        <f>VLOOKUP($A$203,Distributions!$A$4:$F$21,6,FALSE)</f>
        <v>-3409.3741000000005</v>
      </c>
      <c r="P203" s="176">
        <f t="shared" si="47"/>
        <v>-42605.128200000006</v>
      </c>
      <c r="Q203" s="176">
        <f t="shared" si="38"/>
        <v>-11969.128200000006</v>
      </c>
      <c r="R203" s="246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</row>
    <row r="204" spans="1:28" s="121" customFormat="1" x14ac:dyDescent="0.25">
      <c r="A204" s="6" t="s">
        <v>160</v>
      </c>
      <c r="B204" s="3" t="s">
        <v>161</v>
      </c>
      <c r="C204" s="178">
        <f t="shared" ref="C204:O204" si="50">SUM(C186:C203)</f>
        <v>-315000</v>
      </c>
      <c r="D204" s="178">
        <f t="shared" si="50"/>
        <v>-35333.513400000011</v>
      </c>
      <c r="E204" s="178">
        <f t="shared" si="50"/>
        <v>-52187.293863650004</v>
      </c>
      <c r="F204" s="178">
        <f t="shared" si="50"/>
        <v>-35333.513400000011</v>
      </c>
      <c r="G204" s="178">
        <f t="shared" si="50"/>
        <v>-35333.513400000011</v>
      </c>
      <c r="H204" s="178">
        <f t="shared" si="50"/>
        <v>-35333.513400000011</v>
      </c>
      <c r="I204" s="178">
        <f t="shared" si="50"/>
        <v>-35333.513400000011</v>
      </c>
      <c r="J204" s="178">
        <f t="shared" si="50"/>
        <v>-35333.513400000011</v>
      </c>
      <c r="K204" s="178">
        <f t="shared" si="50"/>
        <v>-35333.513400000011</v>
      </c>
      <c r="L204" s="178">
        <f t="shared" si="50"/>
        <v>-35333.513400000011</v>
      </c>
      <c r="M204" s="178">
        <f t="shared" si="50"/>
        <v>-35333.513400000011</v>
      </c>
      <c r="N204" s="178">
        <f t="shared" si="50"/>
        <v>-35333.513400000011</v>
      </c>
      <c r="O204" s="178">
        <f t="shared" si="50"/>
        <v>-35333.513400000011</v>
      </c>
      <c r="P204" s="178">
        <f>SUM(P186:P203)</f>
        <v>-440855.94126365008</v>
      </c>
      <c r="Q204" s="178">
        <f t="shared" si="38"/>
        <v>-125855.94126365008</v>
      </c>
      <c r="R204" s="246"/>
    </row>
    <row r="205" spans="1:28" x14ac:dyDescent="0.25">
      <c r="A205" s="1"/>
      <c r="B205" s="5"/>
      <c r="C205" s="183"/>
      <c r="D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 t="str">
        <f t="shared" si="38"/>
        <v/>
      </c>
      <c r="R205" s="246"/>
    </row>
    <row r="206" spans="1:28" ht="15.75" thickBot="1" x14ac:dyDescent="0.3">
      <c r="A206" s="1"/>
      <c r="B206" s="5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 t="str">
        <f t="shared" si="38"/>
        <v/>
      </c>
      <c r="R206" s="246"/>
    </row>
    <row r="207" spans="1:28" s="121" customFormat="1" x14ac:dyDescent="0.25">
      <c r="A207" s="6"/>
      <c r="B207" s="3" t="s">
        <v>162</v>
      </c>
      <c r="C207" s="178">
        <f t="shared" ref="C207:P207" si="51">C157+C162+C183+C204</f>
        <v>-909059</v>
      </c>
      <c r="D207" s="178">
        <f t="shared" si="51"/>
        <v>-7881.4134000003833</v>
      </c>
      <c r="E207" s="178">
        <f t="shared" si="51"/>
        <v>-101749.35386365053</v>
      </c>
      <c r="F207" s="178">
        <f t="shared" si="51"/>
        <v>-84968.883399999191</v>
      </c>
      <c r="G207" s="178">
        <f t="shared" si="51"/>
        <v>-10030.123400001277</v>
      </c>
      <c r="H207" s="178">
        <f t="shared" si="51"/>
        <v>-85125.713399999266</v>
      </c>
      <c r="I207" s="178">
        <f t="shared" si="51"/>
        <v>-86161.093400000085</v>
      </c>
      <c r="J207" s="178">
        <f t="shared" si="51"/>
        <v>-7365.7334000006813</v>
      </c>
      <c r="K207" s="178">
        <f t="shared" si="51"/>
        <v>-86308.203399999489</v>
      </c>
      <c r="L207" s="178">
        <f t="shared" si="51"/>
        <v>-85429.723400000905</v>
      </c>
      <c r="M207" s="178">
        <f t="shared" si="51"/>
        <v>-7593.2833999995637</v>
      </c>
      <c r="N207" s="178">
        <f t="shared" si="51"/>
        <v>-86529.143399998968</v>
      </c>
      <c r="O207" s="178">
        <f t="shared" si="51"/>
        <v>-85658.743400000458</v>
      </c>
      <c r="P207" s="178">
        <f t="shared" si="51"/>
        <v>-734801.41126365075</v>
      </c>
      <c r="Q207" s="178">
        <f t="shared" ref="Q207:Q209" si="52">IF(C207&lt;&gt;"",P207-C207,"")</f>
        <v>174257.58873634925</v>
      </c>
      <c r="R207" s="246"/>
    </row>
    <row r="208" spans="1:28" s="121" customFormat="1" ht="15.75" thickBot="1" x14ac:dyDescent="0.3">
      <c r="A208" s="6"/>
      <c r="B208" s="3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 t="str">
        <f t="shared" si="52"/>
        <v/>
      </c>
      <c r="R208" s="246"/>
    </row>
    <row r="209" spans="1:18" s="121" customFormat="1" x14ac:dyDescent="0.25">
      <c r="A209" s="6"/>
      <c r="B209" s="3" t="s">
        <v>163</v>
      </c>
      <c r="C209" s="178">
        <f t="shared" ref="C209:P209" si="53">SUM(C207,C138)</f>
        <v>-56115</v>
      </c>
      <c r="D209" s="178">
        <f t="shared" si="53"/>
        <v>11724.983695399642</v>
      </c>
      <c r="E209" s="178">
        <f t="shared" si="53"/>
        <v>11400.757961660594</v>
      </c>
      <c r="F209" s="178">
        <f t="shared" si="53"/>
        <v>9721.2182398230216</v>
      </c>
      <c r="G209" s="178">
        <f>SUM(G207,G138)</f>
        <v>14041.197071498711</v>
      </c>
      <c r="H209" s="178">
        <f t="shared" si="53"/>
        <v>29422.046129822949</v>
      </c>
      <c r="I209" s="178">
        <f t="shared" si="53"/>
        <v>-9564.8069280000782</v>
      </c>
      <c r="J209" s="178">
        <f t="shared" si="53"/>
        <v>23520.554188977098</v>
      </c>
      <c r="K209" s="178">
        <f t="shared" si="53"/>
        <v>19440.201897044957</v>
      </c>
      <c r="L209" s="178">
        <f t="shared" si="53"/>
        <v>18654.645158610205</v>
      </c>
      <c r="M209" s="178">
        <f t="shared" si="53"/>
        <v>25057.983703511549</v>
      </c>
      <c r="N209" s="178">
        <f t="shared" si="53"/>
        <v>18380.187597667697</v>
      </c>
      <c r="O209" s="178">
        <f t="shared" si="53"/>
        <v>32612.501741999542</v>
      </c>
      <c r="P209" s="178">
        <f t="shared" si="53"/>
        <v>204417.4704580158</v>
      </c>
      <c r="Q209" s="178">
        <f t="shared" si="52"/>
        <v>260532.4704580158</v>
      </c>
      <c r="R209" s="246"/>
    </row>
    <row r="210" spans="1:18" s="121" customFormat="1" x14ac:dyDescent="0.25">
      <c r="A210" s="190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246"/>
    </row>
    <row r="211" spans="1:18" s="121" customFormat="1" hidden="1" x14ac:dyDescent="0.25">
      <c r="A211" s="6"/>
      <c r="B211" s="3" t="s">
        <v>391</v>
      </c>
      <c r="C211" s="186"/>
      <c r="D211" s="187"/>
      <c r="E211" s="187">
        <f>D212</f>
        <v>11724.983695399642</v>
      </c>
      <c r="F211" s="187">
        <f t="shared" ref="F211:O211" si="54">E212</f>
        <v>23125.741657060236</v>
      </c>
      <c r="G211" s="187">
        <f t="shared" si="54"/>
        <v>32846.959896883258</v>
      </c>
      <c r="H211" s="187">
        <f t="shared" si="54"/>
        <v>46888.156968381969</v>
      </c>
      <c r="I211" s="187">
        <f t="shared" si="54"/>
        <v>76310.203098204918</v>
      </c>
      <c r="J211" s="187">
        <f t="shared" si="54"/>
        <v>66745.39617020484</v>
      </c>
      <c r="K211" s="187">
        <f t="shared" si="54"/>
        <v>90265.950359181938</v>
      </c>
      <c r="L211" s="187">
        <f t="shared" si="54"/>
        <v>109706.15225622689</v>
      </c>
      <c r="M211" s="187">
        <f t="shared" si="54"/>
        <v>128360.7974148371</v>
      </c>
      <c r="N211" s="187">
        <f t="shared" si="54"/>
        <v>153418.78111834865</v>
      </c>
      <c r="O211" s="187">
        <f t="shared" si="54"/>
        <v>171798.96871601633</v>
      </c>
      <c r="P211" s="186"/>
      <c r="Q211" s="186"/>
      <c r="R211" s="246"/>
    </row>
    <row r="212" spans="1:18" s="121" customFormat="1" hidden="1" x14ac:dyDescent="0.25">
      <c r="A212" s="6"/>
      <c r="B212" s="3" t="s">
        <v>392</v>
      </c>
      <c r="C212" s="187"/>
      <c r="D212" s="187">
        <f>D211+D209</f>
        <v>11724.983695399642</v>
      </c>
      <c r="E212" s="187">
        <f>E211+E209</f>
        <v>23125.741657060236</v>
      </c>
      <c r="F212" s="187">
        <f t="shared" ref="F212:O212" si="55">F211+F209</f>
        <v>32846.959896883258</v>
      </c>
      <c r="G212" s="187">
        <f t="shared" si="55"/>
        <v>46888.156968381969</v>
      </c>
      <c r="H212" s="187">
        <f t="shared" si="55"/>
        <v>76310.203098204918</v>
      </c>
      <c r="I212" s="187">
        <f t="shared" si="55"/>
        <v>66745.39617020484</v>
      </c>
      <c r="J212" s="187">
        <f t="shared" si="55"/>
        <v>90265.950359181938</v>
      </c>
      <c r="K212" s="187">
        <f t="shared" si="55"/>
        <v>109706.15225622689</v>
      </c>
      <c r="L212" s="187">
        <f t="shared" si="55"/>
        <v>128360.7974148371</v>
      </c>
      <c r="M212" s="187">
        <f t="shared" si="55"/>
        <v>153418.78111834865</v>
      </c>
      <c r="N212" s="187">
        <f t="shared" si="55"/>
        <v>171798.96871601633</v>
      </c>
      <c r="O212" s="187">
        <f t="shared" si="55"/>
        <v>204411.47045801586</v>
      </c>
      <c r="P212" s="187"/>
      <c r="Q212" s="187"/>
      <c r="R212" s="246"/>
    </row>
    <row r="213" spans="1:18" s="121" customFormat="1" hidden="1" x14ac:dyDescent="0.25">
      <c r="A213" s="6"/>
      <c r="B213" s="3"/>
      <c r="C213" s="187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7"/>
      <c r="Q213" s="187"/>
      <c r="R213" s="246"/>
    </row>
    <row r="214" spans="1:18" s="121" customFormat="1" x14ac:dyDescent="0.25">
      <c r="A214" s="6"/>
      <c r="B214" s="3"/>
      <c r="C214" s="187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76"/>
      <c r="O214" s="176"/>
      <c r="P214" s="187"/>
      <c r="Q214" s="187"/>
      <c r="R214" s="246"/>
    </row>
    <row r="215" spans="1:18" x14ac:dyDescent="0.25">
      <c r="A215" s="1"/>
      <c r="B215" s="5"/>
      <c r="C215" s="177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P215" s="177"/>
      <c r="Q215" s="177"/>
      <c r="R215" s="245"/>
    </row>
    <row r="216" spans="1:18" x14ac:dyDescent="0.25">
      <c r="A216" s="5"/>
      <c r="B216" s="5" t="s">
        <v>565</v>
      </c>
      <c r="C216" s="177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P216" s="177"/>
      <c r="Q216" s="177"/>
      <c r="R216" s="245"/>
    </row>
    <row r="217" spans="1:18" x14ac:dyDescent="0.25">
      <c r="A217" s="1"/>
      <c r="B217" s="5" t="s">
        <v>594</v>
      </c>
      <c r="C217" s="177"/>
      <c r="D217" s="176">
        <v>-1990.66</v>
      </c>
      <c r="E217" s="176">
        <v>-1990.66</v>
      </c>
      <c r="F217" s="176">
        <v>-1990.66</v>
      </c>
      <c r="G217" s="176">
        <v>-1990.66</v>
      </c>
      <c r="H217" s="176">
        <v>-1990.66</v>
      </c>
      <c r="I217" s="176">
        <v>-1990.66</v>
      </c>
      <c r="J217" s="176">
        <v>-1990.66</v>
      </c>
      <c r="K217" s="176">
        <v>-1990.66</v>
      </c>
      <c r="L217" s="176">
        <v>-1990.66</v>
      </c>
      <c r="M217" s="176">
        <v>-1990.66</v>
      </c>
      <c r="N217" s="176">
        <v>-1990.66</v>
      </c>
      <c r="O217" s="176">
        <v>-1990.66</v>
      </c>
      <c r="P217" s="176">
        <f>SUM(D217:O217)</f>
        <v>-23887.920000000002</v>
      </c>
      <c r="Q217" s="177"/>
      <c r="R217" s="245"/>
    </row>
    <row r="218" spans="1:18" x14ac:dyDescent="0.25">
      <c r="A218" s="218"/>
      <c r="B218" s="5" t="s">
        <v>599</v>
      </c>
      <c r="C218" s="177"/>
      <c r="D218" s="176">
        <v>-75.680000000000007</v>
      </c>
      <c r="E218" s="176">
        <v>-75.680000000000007</v>
      </c>
      <c r="F218" s="176">
        <v>-75.680000000000007</v>
      </c>
      <c r="G218" s="176">
        <v>-75.680000000000007</v>
      </c>
      <c r="H218" s="176">
        <v>-75.680000000000007</v>
      </c>
      <c r="I218" s="176">
        <v>-75.680000000000007</v>
      </c>
      <c r="J218" s="176">
        <v>-75.680000000000007</v>
      </c>
      <c r="K218" s="176">
        <v>-75.680000000000007</v>
      </c>
      <c r="L218" s="176">
        <v>-75.680000000000007</v>
      </c>
      <c r="M218" s="176">
        <v>-75.680000000000007</v>
      </c>
      <c r="N218" s="176">
        <v>-75.680000000000007</v>
      </c>
      <c r="O218" s="176">
        <v>-75.680000000000007</v>
      </c>
      <c r="P218" s="176">
        <f>SUM(D218:O218)</f>
        <v>-908.16000000000031</v>
      </c>
      <c r="Q218" s="177"/>
      <c r="R218" s="245"/>
    </row>
    <row r="219" spans="1:18" x14ac:dyDescent="0.25">
      <c r="A219" s="218"/>
      <c r="B219" s="5" t="s">
        <v>562</v>
      </c>
      <c r="C219" s="177"/>
      <c r="D219" s="176">
        <v>-97.72</v>
      </c>
      <c r="E219" s="176">
        <v>-97.72</v>
      </c>
      <c r="F219" s="176">
        <v>-97.72</v>
      </c>
      <c r="G219" s="176">
        <v>-97.72</v>
      </c>
      <c r="H219" s="176">
        <v>-97.72</v>
      </c>
      <c r="I219" s="176">
        <v>-97.72</v>
      </c>
      <c r="J219" s="176">
        <v>-97.72</v>
      </c>
      <c r="K219" s="176">
        <v>-97.72</v>
      </c>
      <c r="L219" s="176">
        <v>-97.72</v>
      </c>
      <c r="M219" s="176">
        <v>-97.72</v>
      </c>
      <c r="N219" s="176">
        <v>-97.72</v>
      </c>
      <c r="O219" s="176">
        <v>-97.72</v>
      </c>
      <c r="P219" s="176">
        <f t="shared" ref="P219" si="56">SUM(D219:O219)</f>
        <v>-1172.6400000000001</v>
      </c>
      <c r="Q219" s="177"/>
      <c r="R219" s="245"/>
    </row>
    <row r="220" spans="1:18" ht="15.75" thickBot="1" x14ac:dyDescent="0.3">
      <c r="A220" s="5"/>
      <c r="B220" s="5" t="s">
        <v>563</v>
      </c>
      <c r="C220" s="187"/>
      <c r="D220" s="176">
        <v>-671.97</v>
      </c>
      <c r="E220" s="176">
        <v>-671.97</v>
      </c>
      <c r="F220" s="176">
        <v>-671.97</v>
      </c>
      <c r="G220" s="176">
        <v>-671.97</v>
      </c>
      <c r="H220" s="176">
        <v>-671.97</v>
      </c>
      <c r="I220" s="176">
        <v>-671.97</v>
      </c>
      <c r="J220" s="176">
        <v>-671.97</v>
      </c>
      <c r="K220" s="176">
        <v>-671.97</v>
      </c>
      <c r="L220" s="176">
        <v>-671.97</v>
      </c>
      <c r="M220" s="176">
        <v>-671.97</v>
      </c>
      <c r="N220" s="176">
        <v>-671.97</v>
      </c>
      <c r="O220" s="176">
        <v>-671.97</v>
      </c>
      <c r="P220" s="176">
        <f>SUM(D220:O220)</f>
        <v>-8063.6400000000021</v>
      </c>
      <c r="Q220" s="187"/>
      <c r="R220" s="246"/>
    </row>
    <row r="221" spans="1:18" x14ac:dyDescent="0.25">
      <c r="B221" s="3" t="s">
        <v>564</v>
      </c>
      <c r="C221"/>
      <c r="D221" s="178">
        <f t="shared" ref="D221:P221" si="57">SUM(D217:D220)</f>
        <v>-2836.0299999999997</v>
      </c>
      <c r="E221" s="178">
        <f t="shared" si="57"/>
        <v>-2836.0299999999997</v>
      </c>
      <c r="F221" s="178">
        <f t="shared" si="57"/>
        <v>-2836.0299999999997</v>
      </c>
      <c r="G221" s="178">
        <f t="shared" si="57"/>
        <v>-2836.0299999999997</v>
      </c>
      <c r="H221" s="178">
        <f t="shared" si="57"/>
        <v>-2836.0299999999997</v>
      </c>
      <c r="I221" s="178">
        <f t="shared" si="57"/>
        <v>-2836.0299999999997</v>
      </c>
      <c r="J221" s="178">
        <f t="shared" si="57"/>
        <v>-2836.0299999999997</v>
      </c>
      <c r="K221" s="178">
        <f t="shared" si="57"/>
        <v>-2836.0299999999997</v>
      </c>
      <c r="L221" s="178">
        <f t="shared" si="57"/>
        <v>-2836.0299999999997</v>
      </c>
      <c r="M221" s="178">
        <f t="shared" si="57"/>
        <v>-2836.0299999999997</v>
      </c>
      <c r="N221" s="178">
        <f t="shared" si="57"/>
        <v>-2836.0299999999997</v>
      </c>
      <c r="O221" s="178">
        <f t="shared" si="57"/>
        <v>-2836.0299999999997</v>
      </c>
      <c r="P221" s="178">
        <f t="shared" si="57"/>
        <v>-34032.36</v>
      </c>
      <c r="Q221"/>
    </row>
    <row r="222" spans="1:18" x14ac:dyDescent="0.25">
      <c r="A222" s="1"/>
      <c r="B222" s="3"/>
      <c r="C222" s="186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6"/>
      <c r="Q222" s="186"/>
      <c r="R222" s="246"/>
    </row>
    <row r="223" spans="1:18" x14ac:dyDescent="0.25">
      <c r="A223" s="1"/>
      <c r="B223" s="5"/>
      <c r="C223" s="177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7"/>
      <c r="Q223" s="177"/>
      <c r="R223" s="245"/>
    </row>
    <row r="224" spans="1:18" x14ac:dyDescent="0.25">
      <c r="A224" s="122" t="s">
        <v>605</v>
      </c>
      <c r="B224" s="3" t="s">
        <v>566</v>
      </c>
      <c r="C224" s="177"/>
      <c r="D224" s="182">
        <f t="shared" ref="D224:P224" si="58">D209+D221</f>
        <v>8888.953695399643</v>
      </c>
      <c r="E224" s="182">
        <f t="shared" si="58"/>
        <v>8564.7279616605956</v>
      </c>
      <c r="F224" s="182">
        <f t="shared" si="58"/>
        <v>6885.1882398230218</v>
      </c>
      <c r="G224" s="182">
        <f t="shared" si="58"/>
        <v>11205.167071498712</v>
      </c>
      <c r="H224" s="182">
        <f t="shared" si="58"/>
        <v>26586.01612982295</v>
      </c>
      <c r="I224" s="182">
        <f t="shared" si="58"/>
        <v>-12400.836928000077</v>
      </c>
      <c r="J224" s="182">
        <f t="shared" si="58"/>
        <v>20684.524188977099</v>
      </c>
      <c r="K224" s="182">
        <f t="shared" si="58"/>
        <v>16604.171897044958</v>
      </c>
      <c r="L224" s="182">
        <f t="shared" si="58"/>
        <v>15818.615158610206</v>
      </c>
      <c r="M224" s="182">
        <f t="shared" si="58"/>
        <v>22221.95370351155</v>
      </c>
      <c r="N224" s="182">
        <f t="shared" si="58"/>
        <v>15544.157597667698</v>
      </c>
      <c r="O224" s="182">
        <f t="shared" si="58"/>
        <v>29776.471741999543</v>
      </c>
      <c r="P224" s="182">
        <f t="shared" si="58"/>
        <v>170385.11045801581</v>
      </c>
      <c r="Q224" s="177"/>
      <c r="R224" s="245"/>
    </row>
    <row r="225" spans="1:19" x14ac:dyDescent="0.25">
      <c r="A225" s="222"/>
      <c r="B225" s="3"/>
      <c r="C225" s="177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77"/>
      <c r="R225" s="245"/>
    </row>
    <row r="226" spans="1:19" x14ac:dyDescent="0.25">
      <c r="A226" s="222"/>
      <c r="B226" s="3" t="s">
        <v>607</v>
      </c>
      <c r="C226" s="177"/>
      <c r="D226" s="182">
        <f>-D11+5937.5</f>
        <v>-712.5</v>
      </c>
      <c r="E226" s="182">
        <f t="shared" ref="E226:O226" si="59">-E11+5937.5</f>
        <v>-712.5</v>
      </c>
      <c r="F226" s="182">
        <f t="shared" si="59"/>
        <v>-712.5</v>
      </c>
      <c r="G226" s="182">
        <f t="shared" si="59"/>
        <v>-712.5</v>
      </c>
      <c r="H226" s="182">
        <f t="shared" si="59"/>
        <v>-712.5</v>
      </c>
      <c r="I226" s="182">
        <f t="shared" si="59"/>
        <v>-712.5</v>
      </c>
      <c r="J226" s="182">
        <f t="shared" si="59"/>
        <v>-712.5</v>
      </c>
      <c r="K226" s="182">
        <f t="shared" si="59"/>
        <v>-712.5</v>
      </c>
      <c r="L226" s="182">
        <f t="shared" si="59"/>
        <v>-712.5</v>
      </c>
      <c r="M226" s="182">
        <f t="shared" si="59"/>
        <v>-712.5</v>
      </c>
      <c r="N226" s="182">
        <f t="shared" si="59"/>
        <v>-712.5</v>
      </c>
      <c r="O226" s="182">
        <f t="shared" si="59"/>
        <v>-712.5</v>
      </c>
      <c r="P226" s="182">
        <f>SUM(D226:O226)</f>
        <v>-8550</v>
      </c>
      <c r="Q226" s="177"/>
      <c r="R226" s="245"/>
      <c r="S226" t="s">
        <v>608</v>
      </c>
    </row>
    <row r="227" spans="1:19" x14ac:dyDescent="0.25">
      <c r="A227" s="1"/>
      <c r="B227" s="5"/>
      <c r="C227" s="177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7"/>
      <c r="Q227" s="177"/>
      <c r="R227" s="245"/>
    </row>
    <row r="228" spans="1:19" s="121" customFormat="1" x14ac:dyDescent="0.25">
      <c r="A228" s="122" t="s">
        <v>606</v>
      </c>
      <c r="B228" s="3" t="s">
        <v>566</v>
      </c>
      <c r="C228" s="187"/>
      <c r="D228" s="182">
        <f>SUM(D224:D226)</f>
        <v>8176.453695399643</v>
      </c>
      <c r="E228" s="182">
        <f t="shared" ref="E228:P228" si="60">SUM(E224:E226)</f>
        <v>7852.2279616605956</v>
      </c>
      <c r="F228" s="182">
        <f t="shared" si="60"/>
        <v>6172.6882398230218</v>
      </c>
      <c r="G228" s="182">
        <f t="shared" si="60"/>
        <v>10492.667071498712</v>
      </c>
      <c r="H228" s="182">
        <f t="shared" si="60"/>
        <v>25873.51612982295</v>
      </c>
      <c r="I228" s="182">
        <f t="shared" si="60"/>
        <v>-13113.336928000077</v>
      </c>
      <c r="J228" s="182">
        <f t="shared" si="60"/>
        <v>19972.024188977099</v>
      </c>
      <c r="K228" s="182">
        <f t="shared" si="60"/>
        <v>15891.671897044958</v>
      </c>
      <c r="L228" s="182">
        <f t="shared" si="60"/>
        <v>15106.115158610206</v>
      </c>
      <c r="M228" s="182">
        <f t="shared" si="60"/>
        <v>21509.45370351155</v>
      </c>
      <c r="N228" s="182">
        <f t="shared" si="60"/>
        <v>14831.657597667698</v>
      </c>
      <c r="O228" s="182">
        <f t="shared" si="60"/>
        <v>29063.971741999543</v>
      </c>
      <c r="P228" s="182">
        <f t="shared" si="60"/>
        <v>161835.11045801581</v>
      </c>
      <c r="Q228" s="187"/>
      <c r="R228" s="246"/>
    </row>
    <row r="229" spans="1:19" x14ac:dyDescent="0.25">
      <c r="A229" s="1"/>
      <c r="B229" s="5"/>
      <c r="C229" s="177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7"/>
      <c r="Q229" s="177"/>
      <c r="R229" s="245"/>
    </row>
    <row r="230" spans="1:19" x14ac:dyDescent="0.25">
      <c r="A230" s="1"/>
      <c r="B230" s="3"/>
      <c r="C230" s="187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7"/>
      <c r="Q230" s="187"/>
      <c r="R230" s="246"/>
    </row>
  </sheetData>
  <mergeCells count="3">
    <mergeCell ref="A1:Q1"/>
    <mergeCell ref="A2:Q2"/>
    <mergeCell ref="C144:Q144"/>
  </mergeCells>
  <printOptions gridLines="1"/>
  <pageMargins left="0.1701388888888889" right="0.1701388888888889" top="0.1701388888888889" bottom="0.1701388888888889" header="0" footer="0"/>
  <pageSetup paperSize="5" scale="58" fitToHeight="990" orientation="portrait" r:id="rId1"/>
  <headerFooter>
    <oddHeader>&amp;R&amp;B&amp;D &amp;T</oddHeader>
    <oddFooter>&amp;C&amp;B Page &amp;P of &amp;N</oddFooter>
  </headerFooter>
  <rowBreaks count="1" manualBreakCount="1">
    <brk id="9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7" sqref="E17"/>
    </sheetView>
  </sheetViews>
  <sheetFormatPr defaultRowHeight="15" x14ac:dyDescent="0.25"/>
  <cols>
    <col min="1" max="1" width="91.7109375" style="31" bestFit="1" customWidth="1"/>
    <col min="2" max="2" width="8.85546875" style="32" bestFit="1" customWidth="1"/>
    <col min="3" max="3" width="8.85546875" style="102" bestFit="1" customWidth="1"/>
    <col min="4" max="4" width="10" style="102" bestFit="1" customWidth="1"/>
    <col min="5" max="16" width="13.28515625" style="103" bestFit="1" customWidth="1"/>
    <col min="17" max="17" width="12.140625" style="103" bestFit="1" customWidth="1"/>
    <col min="18" max="18" width="11.7109375" style="103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421</v>
      </c>
      <c r="T1" s="31" t="s">
        <v>402</v>
      </c>
    </row>
    <row r="2" spans="1:21" x14ac:dyDescent="0.25">
      <c r="A2" s="12" t="s">
        <v>373</v>
      </c>
    </row>
    <row r="4" spans="1:21" s="104" customFormat="1" x14ac:dyDescent="0.25">
      <c r="A4" s="104" t="s">
        <v>374</v>
      </c>
      <c r="B4" s="104" t="s">
        <v>216</v>
      </c>
      <c r="C4" s="105" t="s">
        <v>375</v>
      </c>
      <c r="D4" s="105" t="s">
        <v>434</v>
      </c>
      <c r="E4" s="106" t="s">
        <v>422</v>
      </c>
      <c r="F4" s="106" t="s">
        <v>423</v>
      </c>
      <c r="G4" s="106" t="s">
        <v>424</v>
      </c>
      <c r="H4" s="106" t="s">
        <v>425</v>
      </c>
      <c r="I4" s="106" t="s">
        <v>426</v>
      </c>
      <c r="J4" s="106" t="s">
        <v>427</v>
      </c>
      <c r="K4" s="106" t="s">
        <v>428</v>
      </c>
      <c r="L4" s="106" t="s">
        <v>429</v>
      </c>
      <c r="M4" s="106" t="s">
        <v>430</v>
      </c>
      <c r="N4" s="106" t="s">
        <v>431</v>
      </c>
      <c r="O4" s="106" t="s">
        <v>432</v>
      </c>
      <c r="P4" s="106" t="s">
        <v>433</v>
      </c>
      <c r="Q4" s="107" t="s">
        <v>167</v>
      </c>
      <c r="R4" s="107" t="s">
        <v>403</v>
      </c>
      <c r="S4" s="104" t="s">
        <v>404</v>
      </c>
      <c r="T4" s="104" t="s">
        <v>405</v>
      </c>
      <c r="U4" s="104" t="s">
        <v>406</v>
      </c>
    </row>
    <row r="5" spans="1:21" x14ac:dyDescent="0.25">
      <c r="A5" s="31" t="s">
        <v>400</v>
      </c>
      <c r="B5" s="32" t="s">
        <v>407</v>
      </c>
      <c r="C5" s="102">
        <v>2850</v>
      </c>
      <c r="D5" s="111">
        <v>26.997894736842106</v>
      </c>
      <c r="E5" s="103">
        <v>6650</v>
      </c>
      <c r="F5" s="103">
        <v>6650</v>
      </c>
      <c r="G5" s="103">
        <v>6650</v>
      </c>
      <c r="H5" s="103">
        <v>6650</v>
      </c>
      <c r="I5" s="103">
        <v>6650</v>
      </c>
      <c r="J5" s="103">
        <v>6650</v>
      </c>
      <c r="K5" s="103">
        <v>6650</v>
      </c>
      <c r="L5" s="103">
        <v>6650</v>
      </c>
      <c r="M5" s="103">
        <v>6650</v>
      </c>
      <c r="N5" s="103">
        <v>6650</v>
      </c>
      <c r="O5" s="103">
        <v>6650</v>
      </c>
      <c r="P5" s="103">
        <v>6650</v>
      </c>
      <c r="Q5" s="103">
        <f>SUM(E5:P5)</f>
        <v>79800</v>
      </c>
      <c r="T5" s="31" t="s">
        <v>400</v>
      </c>
    </row>
    <row r="6" spans="1:21" s="24" customFormat="1" x14ac:dyDescent="0.25">
      <c r="A6" s="24" t="s">
        <v>408</v>
      </c>
      <c r="B6" s="25" t="s">
        <v>407</v>
      </c>
      <c r="C6" s="108">
        <f>12835+1958+2403</f>
        <v>17196</v>
      </c>
      <c r="D6" s="109">
        <v>16.23</v>
      </c>
      <c r="E6" s="110">
        <v>22580.639999999999</v>
      </c>
      <c r="F6" s="110">
        <v>22580.639999999999</v>
      </c>
      <c r="G6" s="110">
        <v>23258.06</v>
      </c>
      <c r="H6" s="110">
        <v>23258.06</v>
      </c>
      <c r="I6" s="110">
        <v>23258.06</v>
      </c>
      <c r="J6" s="110">
        <v>23258.06</v>
      </c>
      <c r="K6" s="110">
        <v>23258.06</v>
      </c>
      <c r="L6" s="110">
        <v>23258.06</v>
      </c>
      <c r="M6" s="110">
        <v>23258.06</v>
      </c>
      <c r="N6" s="110">
        <v>23258.06</v>
      </c>
      <c r="O6" s="110">
        <v>23258.06</v>
      </c>
      <c r="P6" s="110">
        <v>23258.06</v>
      </c>
      <c r="Q6" s="110">
        <f t="shared" ref="Q6:Q27" si="0">SUM(E6:P6)</f>
        <v>277741.88</v>
      </c>
      <c r="R6" s="110"/>
      <c r="T6" s="24" t="s">
        <v>408</v>
      </c>
    </row>
    <row r="7" spans="1:21" x14ac:dyDescent="0.25">
      <c r="A7" s="31" t="s">
        <v>409</v>
      </c>
      <c r="B7" s="32" t="s">
        <v>407</v>
      </c>
      <c r="C7" s="102">
        <v>1240</v>
      </c>
      <c r="D7" s="111">
        <v>21.492967741935484</v>
      </c>
      <c r="E7" s="103">
        <v>2220.94</v>
      </c>
      <c r="F7" s="103">
        <v>2220.94</v>
      </c>
      <c r="G7" s="103">
        <v>2220.94</v>
      </c>
      <c r="H7" s="103">
        <v>2220.94</v>
      </c>
      <c r="I7" s="103">
        <v>2220.94</v>
      </c>
      <c r="J7" s="103">
        <v>2220.94</v>
      </c>
      <c r="K7" s="103">
        <v>2220.94</v>
      </c>
      <c r="L7" s="103">
        <v>2220.94</v>
      </c>
      <c r="M7" s="103">
        <v>2220.94</v>
      </c>
      <c r="N7" s="103">
        <v>2220.94</v>
      </c>
      <c r="O7" s="103">
        <v>2287.5700000000002</v>
      </c>
      <c r="P7" s="103">
        <v>2287.5700000000002</v>
      </c>
      <c r="Q7" s="103">
        <f t="shared" si="0"/>
        <v>26784.539999999997</v>
      </c>
      <c r="T7" s="31" t="s">
        <v>409</v>
      </c>
    </row>
    <row r="8" spans="1:21" s="24" customFormat="1" x14ac:dyDescent="0.25">
      <c r="A8" s="24" t="s">
        <v>410</v>
      </c>
      <c r="B8" s="25" t="s">
        <v>407</v>
      </c>
      <c r="C8" s="108">
        <v>976</v>
      </c>
      <c r="D8" s="109">
        <v>24.041065573770489</v>
      </c>
      <c r="E8" s="110">
        <v>1955.34</v>
      </c>
      <c r="F8" s="110">
        <v>1955.34</v>
      </c>
      <c r="G8" s="110">
        <v>1955.34</v>
      </c>
      <c r="H8" s="110">
        <v>1955.34</v>
      </c>
      <c r="I8" s="110">
        <v>1955.34</v>
      </c>
      <c r="J8" s="110">
        <v>1955.34</v>
      </c>
      <c r="K8" s="110">
        <v>1955.34</v>
      </c>
      <c r="L8" s="110">
        <v>1955.34</v>
      </c>
      <c r="M8" s="110">
        <v>1955.34</v>
      </c>
      <c r="N8" s="110">
        <v>1955.34</v>
      </c>
      <c r="O8" s="110">
        <v>2033.55</v>
      </c>
      <c r="P8" s="110">
        <v>2033.55</v>
      </c>
      <c r="Q8" s="110">
        <f t="shared" si="0"/>
        <v>23620.499999999996</v>
      </c>
      <c r="R8" s="110"/>
      <c r="T8" s="24" t="s">
        <v>410</v>
      </c>
    </row>
    <row r="9" spans="1:21" x14ac:dyDescent="0.25">
      <c r="A9" s="31" t="s">
        <v>395</v>
      </c>
      <c r="B9" s="32" t="s">
        <v>407</v>
      </c>
      <c r="C9" s="102">
        <v>1216</v>
      </c>
      <c r="D9" s="111">
        <v>24.345592105263155</v>
      </c>
      <c r="E9" s="103">
        <v>2466.94</v>
      </c>
      <c r="F9" s="103">
        <v>2466.94</v>
      </c>
      <c r="G9" s="103">
        <v>2466.94</v>
      </c>
      <c r="H9" s="103">
        <v>2540.94</v>
      </c>
      <c r="I9" s="103">
        <v>2540.94</v>
      </c>
      <c r="J9" s="103">
        <v>2540.94</v>
      </c>
      <c r="K9" s="103">
        <v>2540.94</v>
      </c>
      <c r="L9" s="103">
        <v>2540.94</v>
      </c>
      <c r="M9" s="103">
        <v>2540.94</v>
      </c>
      <c r="N9" s="103">
        <v>2540.94</v>
      </c>
      <c r="O9" s="103">
        <v>2540.94</v>
      </c>
      <c r="P9" s="103">
        <v>2540.94</v>
      </c>
      <c r="Q9" s="103">
        <f t="shared" si="0"/>
        <v>30269.279999999995</v>
      </c>
      <c r="T9" s="31" t="s">
        <v>395</v>
      </c>
    </row>
    <row r="10" spans="1:21" x14ac:dyDescent="0.25">
      <c r="A10" s="31" t="s">
        <v>396</v>
      </c>
      <c r="B10" s="32" t="s">
        <v>407</v>
      </c>
      <c r="C10" s="102">
        <v>24000</v>
      </c>
      <c r="D10" s="102">
        <v>16</v>
      </c>
      <c r="E10" s="103">
        <v>32000</v>
      </c>
      <c r="F10" s="103">
        <v>32000</v>
      </c>
      <c r="G10" s="103">
        <v>32000</v>
      </c>
      <c r="H10" s="103">
        <v>32000</v>
      </c>
      <c r="I10" s="103">
        <v>32000</v>
      </c>
      <c r="J10" s="103">
        <v>32000</v>
      </c>
      <c r="K10" s="103">
        <v>32000</v>
      </c>
      <c r="L10" s="103">
        <v>32000</v>
      </c>
      <c r="M10" s="103">
        <v>32000</v>
      </c>
      <c r="N10" s="103">
        <v>32000</v>
      </c>
      <c r="O10" s="103">
        <v>32000</v>
      </c>
      <c r="P10" s="103">
        <v>36000</v>
      </c>
      <c r="Q10" s="103">
        <f t="shared" si="0"/>
        <v>388000</v>
      </c>
      <c r="T10" s="31" t="s">
        <v>396</v>
      </c>
    </row>
    <row r="11" spans="1:21" x14ac:dyDescent="0.25">
      <c r="A11" s="31" t="s">
        <v>401</v>
      </c>
      <c r="B11" s="32" t="s">
        <v>407</v>
      </c>
      <c r="C11" s="105">
        <v>2000</v>
      </c>
      <c r="D11" s="102">
        <v>21.995999999999999</v>
      </c>
      <c r="E11" s="103">
        <v>3833.33</v>
      </c>
      <c r="F11" s="103">
        <v>3833.33</v>
      </c>
      <c r="G11" s="103">
        <v>3833.33</v>
      </c>
      <c r="H11" s="103">
        <v>3833.33</v>
      </c>
      <c r="I11" s="103">
        <v>3833.33</v>
      </c>
      <c r="J11" s="103">
        <v>3833.33</v>
      </c>
      <c r="K11" s="103">
        <v>3833.33</v>
      </c>
      <c r="L11" s="103">
        <v>3833.33</v>
      </c>
      <c r="M11" s="103">
        <v>3833.33</v>
      </c>
      <c r="N11" s="103">
        <v>3833.33</v>
      </c>
      <c r="O11" s="103">
        <v>3833.33</v>
      </c>
      <c r="P11" s="103">
        <v>3833.33</v>
      </c>
      <c r="Q11" s="103">
        <f t="shared" si="0"/>
        <v>45999.960000000014</v>
      </c>
      <c r="T11" s="31" t="s">
        <v>401</v>
      </c>
      <c r="U11" s="31" t="s">
        <v>411</v>
      </c>
    </row>
    <row r="12" spans="1:21" s="112" customFormat="1" x14ac:dyDescent="0.25">
      <c r="A12" s="112" t="s">
        <v>435</v>
      </c>
      <c r="B12" s="113" t="s">
        <v>407</v>
      </c>
      <c r="C12" s="114">
        <v>1980</v>
      </c>
      <c r="D12" s="114">
        <v>20</v>
      </c>
      <c r="E12" s="115">
        <v>3399</v>
      </c>
      <c r="F12" s="115">
        <v>3399</v>
      </c>
      <c r="G12" s="115">
        <v>3399</v>
      </c>
      <c r="H12" s="115">
        <v>3399</v>
      </c>
      <c r="I12" s="115">
        <v>3399</v>
      </c>
      <c r="J12" s="115">
        <v>3399</v>
      </c>
      <c r="K12" s="115">
        <v>3399</v>
      </c>
      <c r="L12" s="115">
        <v>3399</v>
      </c>
      <c r="M12" s="115">
        <v>3399</v>
      </c>
      <c r="N12" s="115">
        <v>3399</v>
      </c>
      <c r="O12" s="115">
        <v>3399</v>
      </c>
      <c r="P12" s="115">
        <v>3399</v>
      </c>
      <c r="Q12" s="115">
        <f t="shared" si="0"/>
        <v>40788</v>
      </c>
      <c r="R12" s="115"/>
      <c r="T12" s="112" t="s">
        <v>412</v>
      </c>
    </row>
    <row r="13" spans="1:21" x14ac:dyDescent="0.25">
      <c r="A13" s="31" t="s">
        <v>413</v>
      </c>
      <c r="B13" s="32" t="s">
        <v>407</v>
      </c>
      <c r="C13" s="102">
        <v>2000</v>
      </c>
      <c r="D13" s="102">
        <v>13.999979999999999</v>
      </c>
      <c r="E13" s="103">
        <v>2333.33</v>
      </c>
      <c r="F13" s="103">
        <v>2333.33</v>
      </c>
      <c r="G13" s="103">
        <v>2333.33</v>
      </c>
      <c r="H13" s="103">
        <v>2833.33</v>
      </c>
      <c r="I13" s="103">
        <v>2833.33</v>
      </c>
      <c r="J13" s="103">
        <v>2833.33</v>
      </c>
      <c r="K13" s="103">
        <v>2833.33</v>
      </c>
      <c r="L13" s="103">
        <v>2833.33</v>
      </c>
      <c r="M13" s="103">
        <v>2833.33</v>
      </c>
      <c r="N13" s="103">
        <v>2833.33</v>
      </c>
      <c r="O13" s="103">
        <v>2833.33</v>
      </c>
      <c r="P13" s="103">
        <v>2833.33</v>
      </c>
      <c r="Q13" s="103">
        <f t="shared" si="0"/>
        <v>32499.960000000006</v>
      </c>
      <c r="T13" s="31" t="s">
        <v>413</v>
      </c>
      <c r="U13" s="31" t="s">
        <v>414</v>
      </c>
    </row>
    <row r="14" spans="1:21" x14ac:dyDescent="0.25">
      <c r="A14" s="31" t="s">
        <v>397</v>
      </c>
      <c r="B14" s="32" t="s">
        <v>407</v>
      </c>
      <c r="C14" s="102">
        <v>1980</v>
      </c>
      <c r="D14" s="102">
        <v>16.163636363636364</v>
      </c>
      <c r="E14" s="103">
        <v>2667</v>
      </c>
      <c r="F14" s="103">
        <v>2667</v>
      </c>
      <c r="G14" s="103">
        <v>2667</v>
      </c>
      <c r="H14" s="103">
        <v>2667</v>
      </c>
      <c r="I14" s="103">
        <v>2667</v>
      </c>
      <c r="J14" s="103">
        <v>2667</v>
      </c>
      <c r="K14" s="103">
        <v>2667</v>
      </c>
      <c r="L14" s="103">
        <v>2667</v>
      </c>
      <c r="M14" s="103">
        <v>2667</v>
      </c>
      <c r="N14" s="103">
        <v>2667</v>
      </c>
      <c r="O14" s="103">
        <v>2667</v>
      </c>
      <c r="P14" s="103">
        <v>2667</v>
      </c>
      <c r="Q14" s="103">
        <f t="shared" si="0"/>
        <v>32004</v>
      </c>
      <c r="T14" s="31" t="s">
        <v>397</v>
      </c>
    </row>
    <row r="15" spans="1:21" x14ac:dyDescent="0.25">
      <c r="A15" s="31" t="s">
        <v>415</v>
      </c>
      <c r="B15" s="32" t="s">
        <v>407</v>
      </c>
      <c r="C15" s="102">
        <v>2000</v>
      </c>
      <c r="D15" s="102">
        <v>0</v>
      </c>
      <c r="Q15" s="103">
        <f t="shared" si="0"/>
        <v>0</v>
      </c>
      <c r="T15" s="31" t="s">
        <v>415</v>
      </c>
    </row>
    <row r="16" spans="1:21" x14ac:dyDescent="0.25">
      <c r="A16" s="31" t="s">
        <v>416</v>
      </c>
      <c r="B16" s="32" t="s">
        <v>407</v>
      </c>
      <c r="C16" s="102">
        <v>7800</v>
      </c>
      <c r="D16" s="102">
        <v>9.5276923076923072</v>
      </c>
      <c r="E16" s="103">
        <v>7800</v>
      </c>
      <c r="F16" s="103">
        <v>7800</v>
      </c>
      <c r="G16" s="103">
        <v>7800</v>
      </c>
      <c r="H16" s="103">
        <v>7800</v>
      </c>
      <c r="I16" s="103">
        <v>7800</v>
      </c>
      <c r="J16" s="103">
        <v>7800</v>
      </c>
      <c r="K16" s="103">
        <v>7800</v>
      </c>
      <c r="L16" s="103">
        <v>7800</v>
      </c>
      <c r="M16" s="103">
        <v>7800</v>
      </c>
      <c r="N16" s="103">
        <v>7800</v>
      </c>
      <c r="O16" s="103">
        <v>7800</v>
      </c>
      <c r="P16" s="103">
        <v>7800</v>
      </c>
      <c r="Q16" s="103">
        <f t="shared" si="0"/>
        <v>93600</v>
      </c>
      <c r="T16" s="31" t="s">
        <v>416</v>
      </c>
    </row>
    <row r="17" spans="1:21" x14ac:dyDescent="0.25">
      <c r="A17" s="31" t="s">
        <v>417</v>
      </c>
      <c r="B17" s="32" t="s">
        <v>407</v>
      </c>
      <c r="C17" s="102">
        <v>3000</v>
      </c>
      <c r="D17" s="102">
        <v>27.867999999999999</v>
      </c>
      <c r="E17" s="103">
        <v>6966.67</v>
      </c>
      <c r="F17" s="103">
        <v>6966.67</v>
      </c>
      <c r="G17" s="103">
        <v>6966.67</v>
      </c>
      <c r="H17" s="103">
        <v>6966.67</v>
      </c>
      <c r="I17" s="103">
        <v>6966.67</v>
      </c>
      <c r="J17" s="103">
        <v>6966.67</v>
      </c>
      <c r="K17" s="103">
        <v>6966.67</v>
      </c>
      <c r="L17" s="103">
        <v>7663.33</v>
      </c>
      <c r="M17" s="103">
        <v>7663.33</v>
      </c>
      <c r="N17" s="103">
        <v>7663.33</v>
      </c>
      <c r="O17" s="103">
        <v>7663.33</v>
      </c>
      <c r="P17" s="103">
        <v>7663.33</v>
      </c>
      <c r="Q17" s="103">
        <f t="shared" si="0"/>
        <v>87083.34</v>
      </c>
      <c r="T17" s="31" t="s">
        <v>417</v>
      </c>
    </row>
    <row r="18" spans="1:21" x14ac:dyDescent="0.25">
      <c r="A18" s="31" t="s">
        <v>399</v>
      </c>
      <c r="B18" s="32" t="s">
        <v>407</v>
      </c>
      <c r="C18" s="102">
        <v>8700</v>
      </c>
      <c r="D18" s="102">
        <v>22</v>
      </c>
      <c r="E18" s="103">
        <v>15225</v>
      </c>
      <c r="F18" s="103">
        <v>15225</v>
      </c>
      <c r="G18" s="103">
        <v>15225</v>
      </c>
      <c r="H18" s="103">
        <v>15225</v>
      </c>
      <c r="I18" s="103">
        <v>15225</v>
      </c>
      <c r="J18" s="103">
        <v>15950</v>
      </c>
      <c r="K18" s="103">
        <v>15950</v>
      </c>
      <c r="L18" s="103">
        <v>15950</v>
      </c>
      <c r="M18" s="103">
        <v>15950</v>
      </c>
      <c r="N18" s="103">
        <v>15950</v>
      </c>
      <c r="O18" s="103">
        <v>15950</v>
      </c>
      <c r="P18" s="103">
        <v>15950</v>
      </c>
      <c r="Q18" s="103">
        <f t="shared" si="0"/>
        <v>187775</v>
      </c>
      <c r="T18" s="31" t="s">
        <v>399</v>
      </c>
      <c r="U18" s="31" t="s">
        <v>418</v>
      </c>
    </row>
    <row r="19" spans="1:21" x14ac:dyDescent="0.25">
      <c r="A19" s="125" t="s">
        <v>398</v>
      </c>
      <c r="B19" s="32" t="s">
        <v>407</v>
      </c>
      <c r="C19" s="102">
        <v>3000</v>
      </c>
      <c r="D19" s="102">
        <v>13.383200000000002</v>
      </c>
      <c r="E19" s="103">
        <v>3379.89</v>
      </c>
      <c r="F19" s="103">
        <v>3379.89</v>
      </c>
      <c r="G19" s="103">
        <v>3379.89</v>
      </c>
      <c r="H19" s="103">
        <v>3379.89</v>
      </c>
      <c r="I19" s="103">
        <v>3379.89</v>
      </c>
      <c r="J19" s="103">
        <v>3379.89</v>
      </c>
      <c r="K19" s="103">
        <v>3379.89</v>
      </c>
      <c r="L19" s="103">
        <v>3379.89</v>
      </c>
      <c r="M19" s="103">
        <v>3379.89</v>
      </c>
      <c r="N19" s="103">
        <v>3379.89</v>
      </c>
      <c r="O19" s="103">
        <v>3379.89</v>
      </c>
      <c r="P19" s="103">
        <v>3379.89</v>
      </c>
      <c r="Q19" s="103">
        <f t="shared" si="0"/>
        <v>40558.68</v>
      </c>
      <c r="T19" s="31" t="s">
        <v>419</v>
      </c>
    </row>
    <row r="20" spans="1:21" x14ac:dyDescent="0.25">
      <c r="Q20" s="103">
        <f t="shared" si="0"/>
        <v>0</v>
      </c>
      <c r="T20" s="31">
        <v>0</v>
      </c>
    </row>
    <row r="21" spans="1:21" x14ac:dyDescent="0.25">
      <c r="Q21" s="103">
        <f t="shared" si="0"/>
        <v>0</v>
      </c>
      <c r="T21" s="31">
        <v>0</v>
      </c>
    </row>
    <row r="22" spans="1:21" x14ac:dyDescent="0.25">
      <c r="Q22" s="103">
        <f t="shared" si="0"/>
        <v>0</v>
      </c>
      <c r="T22" s="31">
        <v>0</v>
      </c>
    </row>
    <row r="23" spans="1:21" x14ac:dyDescent="0.25">
      <c r="Q23" s="103">
        <f t="shared" si="0"/>
        <v>0</v>
      </c>
      <c r="T23" s="31">
        <v>0</v>
      </c>
    </row>
    <row r="24" spans="1:21" x14ac:dyDescent="0.25">
      <c r="Q24" s="103">
        <f t="shared" si="0"/>
        <v>0</v>
      </c>
      <c r="T24" s="31">
        <v>0</v>
      </c>
    </row>
    <row r="25" spans="1:21" x14ac:dyDescent="0.25">
      <c r="Q25" s="103">
        <f t="shared" si="0"/>
        <v>0</v>
      </c>
      <c r="T25" s="31">
        <v>0</v>
      </c>
    </row>
    <row r="26" spans="1:21" x14ac:dyDescent="0.25">
      <c r="Q26" s="103">
        <f t="shared" si="0"/>
        <v>0</v>
      </c>
      <c r="T26" s="31">
        <v>0</v>
      </c>
    </row>
    <row r="27" spans="1:21" x14ac:dyDescent="0.25">
      <c r="Q27" s="103">
        <f t="shared" si="0"/>
        <v>0</v>
      </c>
      <c r="T27" s="31">
        <v>0</v>
      </c>
    </row>
    <row r="28" spans="1:21" x14ac:dyDescent="0.25">
      <c r="T28" s="31">
        <v>0</v>
      </c>
    </row>
    <row r="32" spans="1:21" x14ac:dyDescent="0.25">
      <c r="A32" s="31" t="s">
        <v>380</v>
      </c>
      <c r="C32" s="102">
        <f t="shared" ref="C32:P32" si="1">SUM(C5:C31)</f>
        <v>79938</v>
      </c>
      <c r="D32" s="102">
        <f t="shared" si="1"/>
        <v>274.04602882913991</v>
      </c>
      <c r="E32" s="124">
        <f t="shared" si="1"/>
        <v>113478.08</v>
      </c>
      <c r="F32" s="124">
        <f t="shared" si="1"/>
        <v>113478.08</v>
      </c>
      <c r="G32" s="124">
        <f t="shared" si="1"/>
        <v>114155.5</v>
      </c>
      <c r="H32" s="124">
        <f t="shared" si="1"/>
        <v>114729.5</v>
      </c>
      <c r="I32" s="124">
        <f t="shared" si="1"/>
        <v>114729.5</v>
      </c>
      <c r="J32" s="124">
        <f t="shared" si="1"/>
        <v>115454.5</v>
      </c>
      <c r="K32" s="124">
        <f t="shared" si="1"/>
        <v>115454.5</v>
      </c>
      <c r="L32" s="124">
        <f t="shared" si="1"/>
        <v>116151.16</v>
      </c>
      <c r="M32" s="124">
        <f t="shared" si="1"/>
        <v>116151.16</v>
      </c>
      <c r="N32" s="124">
        <f t="shared" si="1"/>
        <v>116151.16</v>
      </c>
      <c r="O32" s="124">
        <f t="shared" si="1"/>
        <v>116296</v>
      </c>
      <c r="P32" s="124">
        <f t="shared" si="1"/>
        <v>120296</v>
      </c>
      <c r="Q32" s="103">
        <f>SUM(Q5:Q19)</f>
        <v>1386525.14</v>
      </c>
    </row>
    <row r="33" spans="1:17" x14ac:dyDescent="0.25">
      <c r="Q33" s="103">
        <f>SUM(E32:P32)</f>
        <v>1386525.1400000001</v>
      </c>
    </row>
    <row r="35" spans="1:17" x14ac:dyDescent="0.25">
      <c r="A35" s="31" t="s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E7" sqref="E7:P7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102" bestFit="1" customWidth="1"/>
    <col min="4" max="4" width="8.42578125" style="102" bestFit="1" customWidth="1"/>
    <col min="5" max="16" width="10.5703125" style="103" bestFit="1" customWidth="1"/>
    <col min="17" max="17" width="12.140625" style="103" bestFit="1" customWidth="1"/>
    <col min="18" max="18" width="11.5703125" style="103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436</v>
      </c>
    </row>
    <row r="2" spans="1:20" x14ac:dyDescent="0.25">
      <c r="A2" s="12" t="s">
        <v>381</v>
      </c>
    </row>
    <row r="4" spans="1:20" s="104" customFormat="1" x14ac:dyDescent="0.25">
      <c r="A4" s="104" t="s">
        <v>374</v>
      </c>
      <c r="B4" s="104" t="s">
        <v>216</v>
      </c>
      <c r="C4" s="105" t="s">
        <v>375</v>
      </c>
      <c r="D4" s="105" t="s">
        <v>434</v>
      </c>
      <c r="E4" s="106">
        <v>42370</v>
      </c>
      <c r="F4" s="106">
        <v>42401</v>
      </c>
      <c r="G4" s="106">
        <v>42430</v>
      </c>
      <c r="H4" s="106">
        <v>42461</v>
      </c>
      <c r="I4" s="106">
        <v>42491</v>
      </c>
      <c r="J4" s="106">
        <v>42522</v>
      </c>
      <c r="K4" s="106">
        <v>42552</v>
      </c>
      <c r="L4" s="106">
        <v>42583</v>
      </c>
      <c r="M4" s="106">
        <v>42614</v>
      </c>
      <c r="N4" s="106">
        <v>42644</v>
      </c>
      <c r="O4" s="106">
        <v>42675</v>
      </c>
      <c r="P4" s="106">
        <v>42705</v>
      </c>
      <c r="Q4" s="107" t="s">
        <v>204</v>
      </c>
      <c r="R4" s="107" t="s">
        <v>376</v>
      </c>
      <c r="S4" s="104" t="s">
        <v>0</v>
      </c>
      <c r="T4" s="104" t="s">
        <v>205</v>
      </c>
    </row>
    <row r="6" spans="1:20" s="24" customFormat="1" x14ac:dyDescent="0.25">
      <c r="A6" s="31" t="s">
        <v>400</v>
      </c>
      <c r="B6" s="32" t="s">
        <v>407</v>
      </c>
      <c r="C6" s="102">
        <v>2850</v>
      </c>
      <c r="D6" s="111">
        <v>26.997894736842106</v>
      </c>
      <c r="E6" s="103">
        <v>680.2</v>
      </c>
      <c r="F6" s="103">
        <v>680.2</v>
      </c>
      <c r="G6" s="103">
        <v>680.2</v>
      </c>
      <c r="H6" s="103">
        <v>680.2</v>
      </c>
      <c r="I6" s="103">
        <v>680.2</v>
      </c>
      <c r="J6" s="103">
        <v>680.2</v>
      </c>
      <c r="K6" s="103">
        <v>680.2</v>
      </c>
      <c r="L6" s="103">
        <v>680.2</v>
      </c>
      <c r="M6" s="103">
        <v>680.2</v>
      </c>
      <c r="N6" s="103">
        <v>680.2</v>
      </c>
      <c r="O6" s="103">
        <v>680.2</v>
      </c>
      <c r="P6" s="103">
        <v>680.2</v>
      </c>
      <c r="Q6" s="110">
        <f>SUM(E6:P6)</f>
        <v>8162.3999999999987</v>
      </c>
      <c r="R6" s="110"/>
    </row>
    <row r="7" spans="1:20" x14ac:dyDescent="0.25">
      <c r="A7" s="24" t="s">
        <v>408</v>
      </c>
      <c r="B7" s="25" t="s">
        <v>407</v>
      </c>
      <c r="C7" s="108">
        <f>12835+1958+2403</f>
        <v>17196</v>
      </c>
      <c r="D7" s="109">
        <v>16.23</v>
      </c>
      <c r="E7" s="110">
        <v>4087.22</v>
      </c>
      <c r="F7" s="110">
        <v>4087.22</v>
      </c>
      <c r="G7" s="110">
        <v>4087.22</v>
      </c>
      <c r="H7" s="110">
        <v>4087.22</v>
      </c>
      <c r="I7" s="110">
        <v>4087.22</v>
      </c>
      <c r="J7" s="110">
        <v>4087.22</v>
      </c>
      <c r="K7" s="110">
        <v>4087.22</v>
      </c>
      <c r="L7" s="110">
        <v>4087.22</v>
      </c>
      <c r="M7" s="110">
        <v>4087.22</v>
      </c>
      <c r="N7" s="110">
        <v>4087.22</v>
      </c>
      <c r="O7" s="110">
        <v>4087.22</v>
      </c>
      <c r="P7" s="110">
        <v>4087.22</v>
      </c>
      <c r="Q7" s="103">
        <f t="shared" ref="Q7:Q9" si="0">SUM(E7:P7)</f>
        <v>49046.640000000007</v>
      </c>
    </row>
    <row r="8" spans="1:20" s="24" customFormat="1" x14ac:dyDescent="0.25">
      <c r="A8" s="31" t="s">
        <v>409</v>
      </c>
      <c r="B8" s="32" t="s">
        <v>407</v>
      </c>
      <c r="C8" s="102">
        <v>1240</v>
      </c>
      <c r="D8" s="111">
        <v>21.492967741935484</v>
      </c>
      <c r="E8" s="103">
        <v>389.46</v>
      </c>
      <c r="F8" s="103">
        <v>389.46</v>
      </c>
      <c r="G8" s="103">
        <v>389.46</v>
      </c>
      <c r="H8" s="103">
        <v>389.46</v>
      </c>
      <c r="I8" s="103">
        <v>389.46</v>
      </c>
      <c r="J8" s="103">
        <v>389.46</v>
      </c>
      <c r="K8" s="103">
        <v>389.46</v>
      </c>
      <c r="L8" s="103">
        <v>389.46</v>
      </c>
      <c r="M8" s="103">
        <v>389.46</v>
      </c>
      <c r="N8" s="103">
        <v>389.46</v>
      </c>
      <c r="O8" s="103">
        <v>389.46</v>
      </c>
      <c r="P8" s="103">
        <v>389.46</v>
      </c>
      <c r="Q8" s="110">
        <f t="shared" si="0"/>
        <v>4673.5199999999995</v>
      </c>
      <c r="R8" s="110"/>
    </row>
    <row r="9" spans="1:20" x14ac:dyDescent="0.25">
      <c r="A9" s="24" t="s">
        <v>410</v>
      </c>
      <c r="B9" s="25" t="s">
        <v>407</v>
      </c>
      <c r="C9" s="108">
        <v>976</v>
      </c>
      <c r="D9" s="109">
        <v>24.041065573770489</v>
      </c>
      <c r="E9" s="110">
        <v>306.54000000000002</v>
      </c>
      <c r="F9" s="110">
        <v>306.54000000000002</v>
      </c>
      <c r="G9" s="110">
        <v>306.54000000000002</v>
      </c>
      <c r="H9" s="110">
        <v>306.54000000000002</v>
      </c>
      <c r="I9" s="110">
        <v>306.54000000000002</v>
      </c>
      <c r="J9" s="110">
        <v>306.54000000000002</v>
      </c>
      <c r="K9" s="110">
        <v>306.54000000000002</v>
      </c>
      <c r="L9" s="110">
        <v>306.54000000000002</v>
      </c>
      <c r="M9" s="110">
        <v>306.54000000000002</v>
      </c>
      <c r="N9" s="110">
        <v>306.54000000000002</v>
      </c>
      <c r="O9" s="110">
        <v>306.54000000000002</v>
      </c>
      <c r="P9" s="110">
        <v>306.54000000000002</v>
      </c>
      <c r="Q9" s="116">
        <f t="shared" si="0"/>
        <v>3678.48</v>
      </c>
    </row>
    <row r="10" spans="1:20" s="24" customFormat="1" x14ac:dyDescent="0.25">
      <c r="A10" s="31" t="s">
        <v>395</v>
      </c>
      <c r="B10" s="32" t="s">
        <v>407</v>
      </c>
      <c r="C10" s="102">
        <v>1216</v>
      </c>
      <c r="D10" s="111">
        <v>24.345592105263155</v>
      </c>
      <c r="E10" s="103">
        <v>338.92</v>
      </c>
      <c r="F10" s="103">
        <v>338.92</v>
      </c>
      <c r="G10" s="103">
        <v>338.92</v>
      </c>
      <c r="H10" s="103">
        <v>338.92</v>
      </c>
      <c r="I10" s="103">
        <v>338.92</v>
      </c>
      <c r="J10" s="103">
        <v>338.92</v>
      </c>
      <c r="K10" s="103">
        <v>338.92</v>
      </c>
      <c r="L10" s="103">
        <v>338.92</v>
      </c>
      <c r="M10" s="103">
        <v>338.92</v>
      </c>
      <c r="N10" s="103">
        <v>338.92</v>
      </c>
      <c r="O10" s="103">
        <v>338.92</v>
      </c>
      <c r="P10" s="103">
        <v>338.92</v>
      </c>
      <c r="Q10" s="110">
        <f>SUM(E10:P10)</f>
        <v>4067.0400000000004</v>
      </c>
      <c r="R10" s="110"/>
    </row>
    <row r="11" spans="1:20" x14ac:dyDescent="0.25">
      <c r="A11" s="31" t="s">
        <v>396</v>
      </c>
      <c r="B11" s="32" t="s">
        <v>407</v>
      </c>
      <c r="C11" s="102">
        <v>24000</v>
      </c>
      <c r="D11" s="102">
        <v>16</v>
      </c>
      <c r="E11" s="103">
        <v>5036.43</v>
      </c>
      <c r="F11" s="103">
        <v>5036.43</v>
      </c>
      <c r="G11" s="103">
        <v>5036.43</v>
      </c>
      <c r="H11" s="103">
        <v>5036.43</v>
      </c>
      <c r="I11" s="103">
        <v>5036.43</v>
      </c>
      <c r="J11" s="103">
        <v>5036.43</v>
      </c>
      <c r="K11" s="103">
        <v>5036.43</v>
      </c>
      <c r="L11" s="103">
        <v>5036.43</v>
      </c>
      <c r="M11" s="103">
        <v>5036.43</v>
      </c>
      <c r="N11" s="103">
        <v>5036.43</v>
      </c>
      <c r="O11" s="103">
        <v>5036.43</v>
      </c>
      <c r="P11" s="103">
        <v>5036.43</v>
      </c>
      <c r="Q11" s="116">
        <f t="shared" ref="Q11:Q20" si="1">SUM(E11:P11)</f>
        <v>60437.16</v>
      </c>
      <c r="T11" s="31" t="s">
        <v>377</v>
      </c>
    </row>
    <row r="12" spans="1:20" s="24" customFormat="1" x14ac:dyDescent="0.25">
      <c r="A12" s="31" t="s">
        <v>401</v>
      </c>
      <c r="B12" s="32" t="s">
        <v>407</v>
      </c>
      <c r="C12" s="105">
        <v>2000</v>
      </c>
      <c r="D12" s="102">
        <v>21.995999999999999</v>
      </c>
      <c r="E12" s="103">
        <v>604.58000000000004</v>
      </c>
      <c r="F12" s="103">
        <v>604.58000000000004</v>
      </c>
      <c r="G12" s="103">
        <v>604.58000000000004</v>
      </c>
      <c r="H12" s="103">
        <v>604.58000000000004</v>
      </c>
      <c r="I12" s="103">
        <v>604.58000000000004</v>
      </c>
      <c r="J12" s="103">
        <v>604.58000000000004</v>
      </c>
      <c r="K12" s="103">
        <v>604.58000000000004</v>
      </c>
      <c r="L12" s="103">
        <v>604.58000000000004</v>
      </c>
      <c r="M12" s="103">
        <v>604.58000000000004</v>
      </c>
      <c r="N12" s="103">
        <v>604.58000000000004</v>
      </c>
      <c r="O12" s="103">
        <v>604.58000000000004</v>
      </c>
      <c r="P12" s="103">
        <v>604.58000000000004</v>
      </c>
      <c r="Q12" s="110">
        <f t="shared" si="1"/>
        <v>7254.96</v>
      </c>
      <c r="R12" s="110"/>
      <c r="T12" s="24" t="s">
        <v>378</v>
      </c>
    </row>
    <row r="13" spans="1:20" x14ac:dyDescent="0.25">
      <c r="A13" s="112" t="s">
        <v>435</v>
      </c>
      <c r="B13" s="113" t="s">
        <v>407</v>
      </c>
      <c r="C13" s="114">
        <v>1980</v>
      </c>
      <c r="D13" s="114">
        <v>20</v>
      </c>
      <c r="E13" s="115">
        <v>467.75</v>
      </c>
      <c r="F13" s="115">
        <v>467.75</v>
      </c>
      <c r="G13" s="115">
        <v>467.75</v>
      </c>
      <c r="H13" s="115">
        <v>467.75</v>
      </c>
      <c r="I13" s="115">
        <v>467.75</v>
      </c>
      <c r="J13" s="115">
        <v>467.75</v>
      </c>
      <c r="K13" s="115">
        <v>467.75</v>
      </c>
      <c r="L13" s="115">
        <v>467.75</v>
      </c>
      <c r="M13" s="115">
        <v>467.75</v>
      </c>
      <c r="N13" s="115">
        <v>467.75</v>
      </c>
      <c r="O13" s="115">
        <v>467.75</v>
      </c>
      <c r="P13" s="115">
        <v>467.75</v>
      </c>
      <c r="Q13" s="116">
        <f t="shared" si="1"/>
        <v>5613</v>
      </c>
      <c r="T13" s="31" t="s">
        <v>379</v>
      </c>
    </row>
    <row r="14" spans="1:20" x14ac:dyDescent="0.25">
      <c r="A14" s="31" t="s">
        <v>413</v>
      </c>
      <c r="B14" s="32" t="s">
        <v>407</v>
      </c>
      <c r="C14" s="102">
        <v>2000</v>
      </c>
      <c r="D14" s="102">
        <v>13.999979999999999</v>
      </c>
      <c r="E14" s="103">
        <v>560.12</v>
      </c>
      <c r="F14" s="103">
        <v>560.12</v>
      </c>
      <c r="G14" s="103">
        <v>560.12</v>
      </c>
      <c r="H14" s="103">
        <v>560.12</v>
      </c>
      <c r="I14" s="103">
        <v>560.12</v>
      </c>
      <c r="J14" s="103">
        <v>560.12</v>
      </c>
      <c r="K14" s="103">
        <v>560.12</v>
      </c>
      <c r="L14" s="103">
        <v>560.12</v>
      </c>
      <c r="M14" s="103">
        <v>560.12</v>
      </c>
      <c r="N14" s="103">
        <v>560.12</v>
      </c>
      <c r="O14" s="103">
        <v>560.12</v>
      </c>
      <c r="P14" s="103">
        <v>560.12</v>
      </c>
      <c r="Q14" s="116">
        <f t="shared" si="1"/>
        <v>6721.44</v>
      </c>
    </row>
    <row r="15" spans="1:20" x14ac:dyDescent="0.25">
      <c r="A15" s="31" t="s">
        <v>397</v>
      </c>
      <c r="B15" s="32" t="s">
        <v>407</v>
      </c>
      <c r="C15" s="102">
        <v>1980</v>
      </c>
      <c r="D15" s="102">
        <v>16.163636363636364</v>
      </c>
      <c r="E15" s="103">
        <v>560.03</v>
      </c>
      <c r="F15" s="103">
        <v>560.03</v>
      </c>
      <c r="G15" s="103">
        <v>560.03</v>
      </c>
      <c r="H15" s="103">
        <v>560.03</v>
      </c>
      <c r="I15" s="103">
        <v>560.03</v>
      </c>
      <c r="J15" s="103">
        <v>560.03</v>
      </c>
      <c r="K15" s="103">
        <v>560.03</v>
      </c>
      <c r="L15" s="103">
        <v>560.03</v>
      </c>
      <c r="M15" s="103">
        <v>560.03</v>
      </c>
      <c r="N15" s="103">
        <v>560.03</v>
      </c>
      <c r="O15" s="103">
        <v>560.03</v>
      </c>
      <c r="P15" s="103">
        <v>560.03</v>
      </c>
      <c r="Q15" s="116">
        <f t="shared" si="1"/>
        <v>6720.3599999999979</v>
      </c>
    </row>
    <row r="16" spans="1:20" x14ac:dyDescent="0.25">
      <c r="A16" s="31" t="s">
        <v>415</v>
      </c>
      <c r="B16" s="32" t="s">
        <v>407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16">
        <f t="shared" si="1"/>
        <v>0</v>
      </c>
    </row>
    <row r="17" spans="1:18" x14ac:dyDescent="0.25">
      <c r="A17" s="31" t="s">
        <v>416</v>
      </c>
      <c r="B17" s="32" t="s">
        <v>407</v>
      </c>
      <c r="C17" s="102">
        <v>7800</v>
      </c>
      <c r="D17" s="102">
        <v>9.5276923076923072</v>
      </c>
      <c r="E17" s="103">
        <v>2173.9699999999998</v>
      </c>
      <c r="F17" s="103">
        <v>2173.9699999999998</v>
      </c>
      <c r="G17" s="103">
        <v>2173.9699999999998</v>
      </c>
      <c r="H17" s="103">
        <v>2173.9699999999998</v>
      </c>
      <c r="I17" s="103">
        <v>2173.9699999999998</v>
      </c>
      <c r="J17" s="103">
        <v>2173.9699999999998</v>
      </c>
      <c r="K17" s="103">
        <v>2173.9699999999998</v>
      </c>
      <c r="L17" s="103">
        <v>2173.9699999999998</v>
      </c>
      <c r="M17" s="103">
        <v>2173.9699999999998</v>
      </c>
      <c r="N17" s="103">
        <v>2173.9699999999998</v>
      </c>
      <c r="O17" s="103">
        <v>2173.9699999999998</v>
      </c>
      <c r="P17" s="103">
        <v>2173.9699999999998</v>
      </c>
      <c r="Q17" s="116">
        <f t="shared" si="1"/>
        <v>26087.640000000003</v>
      </c>
    </row>
    <row r="18" spans="1:18" x14ac:dyDescent="0.25">
      <c r="A18" s="31" t="s">
        <v>417</v>
      </c>
      <c r="B18" s="32" t="s">
        <v>407</v>
      </c>
      <c r="C18" s="102">
        <v>3000</v>
      </c>
      <c r="D18" s="102">
        <v>27.867999999999999</v>
      </c>
      <c r="E18" s="103">
        <v>961.01</v>
      </c>
      <c r="F18" s="103">
        <v>961.01</v>
      </c>
      <c r="G18" s="103">
        <v>961.01</v>
      </c>
      <c r="H18" s="103">
        <v>961.01</v>
      </c>
      <c r="I18" s="103">
        <v>961.01</v>
      </c>
      <c r="J18" s="103">
        <v>961.01</v>
      </c>
      <c r="K18" s="103">
        <v>961.01</v>
      </c>
      <c r="L18" s="103">
        <v>961.01</v>
      </c>
      <c r="M18" s="103">
        <v>961.01</v>
      </c>
      <c r="N18" s="103">
        <v>961.01</v>
      </c>
      <c r="O18" s="103">
        <v>961.01</v>
      </c>
      <c r="P18" s="103">
        <v>961.01</v>
      </c>
      <c r="Q18" s="116">
        <f t="shared" si="1"/>
        <v>11532.12</v>
      </c>
    </row>
    <row r="19" spans="1:18" x14ac:dyDescent="0.25">
      <c r="A19" s="31" t="s">
        <v>399</v>
      </c>
      <c r="B19" s="32" t="s">
        <v>407</v>
      </c>
      <c r="C19" s="102">
        <v>8700</v>
      </c>
      <c r="D19" s="102">
        <v>22</v>
      </c>
      <c r="E19" s="103">
        <v>1877.16</v>
      </c>
      <c r="F19" s="103">
        <v>1877.16</v>
      </c>
      <c r="G19" s="103">
        <v>1877.16</v>
      </c>
      <c r="H19" s="103">
        <v>1877.16</v>
      </c>
      <c r="I19" s="103">
        <v>1877.16</v>
      </c>
      <c r="J19" s="103">
        <v>1877.16</v>
      </c>
      <c r="K19" s="103">
        <v>1877.16</v>
      </c>
      <c r="L19" s="103">
        <v>1877.16</v>
      </c>
      <c r="M19" s="103">
        <v>1877.16</v>
      </c>
      <c r="N19" s="103">
        <v>1877.16</v>
      </c>
      <c r="O19" s="103">
        <v>1877.16</v>
      </c>
      <c r="P19" s="103">
        <v>1877.16</v>
      </c>
      <c r="Q19" s="116">
        <f t="shared" si="1"/>
        <v>22525.920000000002</v>
      </c>
    </row>
    <row r="20" spans="1:18" x14ac:dyDescent="0.25">
      <c r="A20" s="125" t="s">
        <v>398</v>
      </c>
      <c r="B20" s="32" t="s">
        <v>407</v>
      </c>
      <c r="C20" s="102">
        <v>3000</v>
      </c>
      <c r="D20" s="102">
        <v>13.383200000000002</v>
      </c>
      <c r="E20" s="103">
        <v>835.66</v>
      </c>
      <c r="F20" s="103">
        <v>835.66</v>
      </c>
      <c r="G20" s="103">
        <v>835.66</v>
      </c>
      <c r="H20" s="103">
        <v>835.66</v>
      </c>
      <c r="I20" s="103">
        <v>835.66</v>
      </c>
      <c r="J20" s="103">
        <v>835.66</v>
      </c>
      <c r="K20" s="103">
        <v>835.66</v>
      </c>
      <c r="L20" s="103">
        <v>835.66</v>
      </c>
      <c r="M20" s="103">
        <v>835.66</v>
      </c>
      <c r="N20" s="103">
        <v>835.66</v>
      </c>
      <c r="O20" s="103">
        <v>835.66</v>
      </c>
      <c r="P20" s="103">
        <v>835.66</v>
      </c>
      <c r="Q20" s="116">
        <f t="shared" si="1"/>
        <v>10027.92</v>
      </c>
    </row>
    <row r="21" spans="1:18" x14ac:dyDescent="0.25">
      <c r="C21" s="105">
        <f>SUM(C7:C15)</f>
        <v>52588</v>
      </c>
    </row>
    <row r="22" spans="1:18" s="117" customFormat="1" x14ac:dyDescent="0.25">
      <c r="A22" s="117" t="s">
        <v>208</v>
      </c>
      <c r="B22" s="118"/>
      <c r="C22" s="119"/>
      <c r="D22" s="119"/>
      <c r="E22" s="120">
        <f t="shared" ref="E22:P22" si="2">SUM(E6:E21)</f>
        <v>18879.050000000003</v>
      </c>
      <c r="F22" s="120">
        <f t="shared" si="2"/>
        <v>18879.050000000003</v>
      </c>
      <c r="G22" s="120">
        <f t="shared" si="2"/>
        <v>18879.050000000003</v>
      </c>
      <c r="H22" s="120">
        <f t="shared" si="2"/>
        <v>18879.050000000003</v>
      </c>
      <c r="I22" s="120">
        <f t="shared" si="2"/>
        <v>18879.050000000003</v>
      </c>
      <c r="J22" s="120">
        <f t="shared" si="2"/>
        <v>18879.050000000003</v>
      </c>
      <c r="K22" s="120">
        <f t="shared" si="2"/>
        <v>18879.050000000003</v>
      </c>
      <c r="L22" s="120">
        <f t="shared" si="2"/>
        <v>18879.050000000003</v>
      </c>
      <c r="M22" s="120">
        <f t="shared" si="2"/>
        <v>18879.050000000003</v>
      </c>
      <c r="N22" s="120">
        <f t="shared" si="2"/>
        <v>18879.050000000003</v>
      </c>
      <c r="O22" s="120">
        <f t="shared" si="2"/>
        <v>18879.050000000003</v>
      </c>
      <c r="P22" s="120">
        <f t="shared" si="2"/>
        <v>18879.050000000003</v>
      </c>
      <c r="Q22" s="120">
        <f>SUM(E22:P22)</f>
        <v>226548.59999999998</v>
      </c>
      <c r="R22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E7" sqref="E7:P7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2"/>
    <col min="5" max="16" width="9.140625" style="103"/>
    <col min="17" max="17" width="11.5703125" style="103" bestFit="1" customWidth="1"/>
    <col min="18" max="18" width="9.140625" style="103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437</v>
      </c>
    </row>
    <row r="2" spans="1:20" x14ac:dyDescent="0.25">
      <c r="A2" s="12" t="s">
        <v>382</v>
      </c>
    </row>
    <row r="4" spans="1:20" s="104" customFormat="1" x14ac:dyDescent="0.25">
      <c r="A4" s="104" t="s">
        <v>374</v>
      </c>
      <c r="B4" s="104" t="s">
        <v>216</v>
      </c>
      <c r="C4" s="105" t="s">
        <v>375</v>
      </c>
      <c r="D4" s="105" t="s">
        <v>434</v>
      </c>
      <c r="E4" s="106">
        <v>42370</v>
      </c>
      <c r="F4" s="106">
        <v>42401</v>
      </c>
      <c r="G4" s="106">
        <v>42430</v>
      </c>
      <c r="H4" s="106">
        <v>42461</v>
      </c>
      <c r="I4" s="106">
        <v>42491</v>
      </c>
      <c r="J4" s="106">
        <v>42522</v>
      </c>
      <c r="K4" s="106">
        <v>42552</v>
      </c>
      <c r="L4" s="106">
        <v>42583</v>
      </c>
      <c r="M4" s="106">
        <v>42614</v>
      </c>
      <c r="N4" s="106">
        <v>42644</v>
      </c>
      <c r="O4" s="106">
        <v>42675</v>
      </c>
      <c r="P4" s="106">
        <v>42705</v>
      </c>
      <c r="Q4" s="107" t="s">
        <v>204</v>
      </c>
      <c r="R4" s="107" t="s">
        <v>376</v>
      </c>
      <c r="S4" s="104" t="s">
        <v>0</v>
      </c>
      <c r="T4" s="104" t="s">
        <v>205</v>
      </c>
    </row>
    <row r="6" spans="1:20" s="24" customFormat="1" x14ac:dyDescent="0.25">
      <c r="A6" s="31" t="s">
        <v>400</v>
      </c>
      <c r="B6" s="32" t="s">
        <v>407</v>
      </c>
      <c r="C6" s="102">
        <v>2850</v>
      </c>
      <c r="D6" s="111">
        <v>26.997894736842106</v>
      </c>
      <c r="E6" s="103">
        <v>957.56</v>
      </c>
      <c r="F6" s="103">
        <v>957.56</v>
      </c>
      <c r="G6" s="103">
        <v>957.56</v>
      </c>
      <c r="H6" s="103">
        <v>957.56</v>
      </c>
      <c r="I6" s="103">
        <v>957.56</v>
      </c>
      <c r="J6" s="103">
        <v>957.56</v>
      </c>
      <c r="K6" s="103">
        <v>957.56</v>
      </c>
      <c r="L6" s="103">
        <v>957.56</v>
      </c>
      <c r="M6" s="103">
        <v>957.56</v>
      </c>
      <c r="N6" s="103">
        <v>957.56</v>
      </c>
      <c r="O6" s="103">
        <v>957.56</v>
      </c>
      <c r="P6" s="103">
        <v>957.56</v>
      </c>
      <c r="Q6" s="103">
        <f>SUM(E6:P6)</f>
        <v>11490.719999999996</v>
      </c>
      <c r="R6" s="110"/>
    </row>
    <row r="7" spans="1:20" x14ac:dyDescent="0.25">
      <c r="A7" s="24" t="s">
        <v>408</v>
      </c>
      <c r="B7" s="25" t="s">
        <v>407</v>
      </c>
      <c r="C7" s="108">
        <f>12835+1958+2403</f>
        <v>17196</v>
      </c>
      <c r="D7" s="109">
        <v>16.23</v>
      </c>
      <c r="E7" s="110">
        <v>5788.67</v>
      </c>
      <c r="F7" s="110">
        <v>5788.67</v>
      </c>
      <c r="G7" s="110">
        <v>5788.67</v>
      </c>
      <c r="H7" s="110">
        <v>5788.67</v>
      </c>
      <c r="I7" s="110">
        <v>5788.67</v>
      </c>
      <c r="J7" s="110">
        <v>5788.67</v>
      </c>
      <c r="K7" s="110">
        <v>5788.67</v>
      </c>
      <c r="L7" s="110">
        <v>5788.67</v>
      </c>
      <c r="M7" s="110">
        <v>5788.67</v>
      </c>
      <c r="N7" s="110">
        <v>5788.67</v>
      </c>
      <c r="O7" s="110">
        <v>5788.67</v>
      </c>
      <c r="P7" s="110">
        <v>5788.67</v>
      </c>
      <c r="Q7" s="110">
        <f t="shared" ref="Q7:Q9" si="0">SUM(E7:P7)</f>
        <v>69464.039999999994</v>
      </c>
    </row>
    <row r="8" spans="1:20" s="24" customFormat="1" x14ac:dyDescent="0.25">
      <c r="A8" s="31" t="s">
        <v>409</v>
      </c>
      <c r="B8" s="32" t="s">
        <v>407</v>
      </c>
      <c r="C8" s="102">
        <v>1240</v>
      </c>
      <c r="D8" s="111">
        <v>21.492967741935484</v>
      </c>
      <c r="E8" s="103">
        <v>416.62</v>
      </c>
      <c r="F8" s="103">
        <v>416.62</v>
      </c>
      <c r="G8" s="103">
        <v>416.62</v>
      </c>
      <c r="H8" s="103">
        <v>416.62</v>
      </c>
      <c r="I8" s="103">
        <v>416.62</v>
      </c>
      <c r="J8" s="103">
        <v>416.62</v>
      </c>
      <c r="K8" s="103">
        <v>416.62</v>
      </c>
      <c r="L8" s="103">
        <v>416.62</v>
      </c>
      <c r="M8" s="103">
        <v>416.62</v>
      </c>
      <c r="N8" s="103">
        <v>416.62</v>
      </c>
      <c r="O8" s="103">
        <v>416.62</v>
      </c>
      <c r="P8" s="103">
        <v>416.62</v>
      </c>
      <c r="Q8" s="103">
        <f t="shared" si="0"/>
        <v>4999.4399999999996</v>
      </c>
      <c r="R8" s="110"/>
    </row>
    <row r="9" spans="1:20" x14ac:dyDescent="0.25">
      <c r="A9" s="24" t="s">
        <v>410</v>
      </c>
      <c r="B9" s="25" t="s">
        <v>407</v>
      </c>
      <c r="C9" s="108">
        <v>976</v>
      </c>
      <c r="D9" s="109">
        <v>24.041065573770489</v>
      </c>
      <c r="E9" s="110">
        <v>327.92</v>
      </c>
      <c r="F9" s="110">
        <v>327.92</v>
      </c>
      <c r="G9" s="110">
        <v>327.92</v>
      </c>
      <c r="H9" s="110">
        <v>327.92</v>
      </c>
      <c r="I9" s="110">
        <v>327.92</v>
      </c>
      <c r="J9" s="110">
        <v>327.92</v>
      </c>
      <c r="K9" s="110">
        <v>327.92</v>
      </c>
      <c r="L9" s="110">
        <v>327.92</v>
      </c>
      <c r="M9" s="110">
        <v>327.92</v>
      </c>
      <c r="N9" s="110">
        <v>327.92</v>
      </c>
      <c r="O9" s="110">
        <v>327.92</v>
      </c>
      <c r="P9" s="110">
        <v>327.92</v>
      </c>
      <c r="Q9" s="110">
        <f t="shared" si="0"/>
        <v>3935.0400000000004</v>
      </c>
    </row>
    <row r="10" spans="1:20" s="24" customFormat="1" x14ac:dyDescent="0.25">
      <c r="A10" s="31" t="s">
        <v>395</v>
      </c>
      <c r="B10" s="32" t="s">
        <v>407</v>
      </c>
      <c r="C10" s="102">
        <v>1216</v>
      </c>
      <c r="D10" s="111">
        <v>24.345592105263155</v>
      </c>
      <c r="E10" s="103">
        <v>408.56</v>
      </c>
      <c r="F10" s="103">
        <v>408.56</v>
      </c>
      <c r="G10" s="103">
        <v>408.56</v>
      </c>
      <c r="H10" s="103">
        <v>408.56</v>
      </c>
      <c r="I10" s="103">
        <v>408.56</v>
      </c>
      <c r="J10" s="103">
        <v>408.56</v>
      </c>
      <c r="K10" s="103">
        <v>408.56</v>
      </c>
      <c r="L10" s="103">
        <v>408.56</v>
      </c>
      <c r="M10" s="103">
        <v>408.56</v>
      </c>
      <c r="N10" s="103">
        <v>408.56</v>
      </c>
      <c r="O10" s="103">
        <v>408.56</v>
      </c>
      <c r="P10" s="103">
        <v>408.56</v>
      </c>
      <c r="Q10" s="103">
        <f>SUM(E10:P10)</f>
        <v>4902.72</v>
      </c>
      <c r="R10" s="110"/>
    </row>
    <row r="11" spans="1:20" x14ac:dyDescent="0.25">
      <c r="A11" s="31" t="s">
        <v>396</v>
      </c>
      <c r="B11" s="32" t="s">
        <v>407</v>
      </c>
      <c r="C11" s="102">
        <v>24000</v>
      </c>
      <c r="D11" s="102">
        <v>16</v>
      </c>
      <c r="E11" s="103">
        <v>8063.69</v>
      </c>
      <c r="F11" s="103">
        <v>8063.69</v>
      </c>
      <c r="G11" s="103">
        <v>8063.69</v>
      </c>
      <c r="H11" s="103">
        <v>8063.69</v>
      </c>
      <c r="I11" s="103">
        <v>8063.69</v>
      </c>
      <c r="J11" s="103">
        <v>8063.69</v>
      </c>
      <c r="K11" s="103">
        <v>8063.69</v>
      </c>
      <c r="L11" s="103">
        <v>8063.69</v>
      </c>
      <c r="M11" s="103">
        <v>8063.69</v>
      </c>
      <c r="N11" s="103">
        <v>8063.69</v>
      </c>
      <c r="O11" s="103">
        <v>8063.69</v>
      </c>
      <c r="P11" s="103">
        <v>8063.69</v>
      </c>
      <c r="Q11" s="103">
        <f t="shared" ref="Q11:Q20" si="1">SUM(E11:P11)</f>
        <v>96764.280000000013</v>
      </c>
      <c r="T11" s="31" t="s">
        <v>377</v>
      </c>
    </row>
    <row r="12" spans="1:20" s="24" customFormat="1" x14ac:dyDescent="0.25">
      <c r="A12" s="31" t="s">
        <v>401</v>
      </c>
      <c r="B12" s="32" t="s">
        <v>407</v>
      </c>
      <c r="C12" s="105">
        <v>2000</v>
      </c>
      <c r="D12" s="102">
        <v>21.995999999999999</v>
      </c>
      <c r="E12" s="103">
        <v>671.97</v>
      </c>
      <c r="F12" s="103">
        <v>671.97</v>
      </c>
      <c r="G12" s="103">
        <v>671.97</v>
      </c>
      <c r="H12" s="103">
        <v>671.97</v>
      </c>
      <c r="I12" s="103">
        <v>671.97</v>
      </c>
      <c r="J12" s="103">
        <v>671.97</v>
      </c>
      <c r="K12" s="103">
        <v>671.97</v>
      </c>
      <c r="L12" s="103">
        <v>671.97</v>
      </c>
      <c r="M12" s="103">
        <v>671.97</v>
      </c>
      <c r="N12" s="103">
        <v>671.97</v>
      </c>
      <c r="O12" s="103">
        <v>671.97</v>
      </c>
      <c r="P12" s="103">
        <v>671.97</v>
      </c>
      <c r="Q12" s="103">
        <f t="shared" si="1"/>
        <v>8063.6400000000021</v>
      </c>
      <c r="R12" s="110"/>
      <c r="T12" s="24" t="s">
        <v>378</v>
      </c>
    </row>
    <row r="13" spans="1:20" x14ac:dyDescent="0.25">
      <c r="A13" s="112" t="s">
        <v>435</v>
      </c>
      <c r="B13" s="113" t="s">
        <v>407</v>
      </c>
      <c r="C13" s="114">
        <v>1980</v>
      </c>
      <c r="D13" s="114">
        <v>20</v>
      </c>
      <c r="E13" s="115">
        <v>657.86</v>
      </c>
      <c r="F13" s="115">
        <v>657.86</v>
      </c>
      <c r="G13" s="115">
        <v>657.86</v>
      </c>
      <c r="H13" s="115">
        <v>657.86</v>
      </c>
      <c r="I13" s="115">
        <v>657.86</v>
      </c>
      <c r="J13" s="115">
        <v>657.86</v>
      </c>
      <c r="K13" s="115">
        <v>657.86</v>
      </c>
      <c r="L13" s="115">
        <v>657.86</v>
      </c>
      <c r="M13" s="115">
        <v>657.86</v>
      </c>
      <c r="N13" s="115">
        <v>657.86</v>
      </c>
      <c r="O13" s="115">
        <v>657.86</v>
      </c>
      <c r="P13" s="115">
        <v>657.86</v>
      </c>
      <c r="Q13" s="115">
        <f t="shared" si="1"/>
        <v>7894.3199999999988</v>
      </c>
      <c r="T13" s="31" t="s">
        <v>379</v>
      </c>
    </row>
    <row r="14" spans="1:20" x14ac:dyDescent="0.25">
      <c r="A14" s="31" t="s">
        <v>413</v>
      </c>
      <c r="B14" s="32" t="s">
        <v>407</v>
      </c>
      <c r="C14" s="102">
        <v>2000</v>
      </c>
      <c r="D14" s="102">
        <v>13.999979999999999</v>
      </c>
      <c r="E14" s="103">
        <v>671.04</v>
      </c>
      <c r="F14" s="103">
        <v>671.04</v>
      </c>
      <c r="G14" s="103">
        <v>671.04</v>
      </c>
      <c r="H14" s="103">
        <v>671.04</v>
      </c>
      <c r="I14" s="103">
        <v>671.04</v>
      </c>
      <c r="J14" s="103">
        <v>671.04</v>
      </c>
      <c r="K14" s="103">
        <v>671.04</v>
      </c>
      <c r="L14" s="103">
        <v>671.04</v>
      </c>
      <c r="M14" s="103">
        <v>671.04</v>
      </c>
      <c r="N14" s="103">
        <v>671.04</v>
      </c>
      <c r="O14" s="103">
        <v>671.04</v>
      </c>
      <c r="P14" s="103">
        <v>671.04</v>
      </c>
      <c r="Q14" s="103">
        <f t="shared" si="1"/>
        <v>8052.48</v>
      </c>
    </row>
    <row r="15" spans="1:20" x14ac:dyDescent="0.25">
      <c r="A15" s="31" t="s">
        <v>397</v>
      </c>
      <c r="B15" s="32" t="s">
        <v>407</v>
      </c>
      <c r="C15" s="102">
        <v>1980</v>
      </c>
      <c r="D15" s="102">
        <v>16.163636363636364</v>
      </c>
      <c r="E15" s="103">
        <v>671.04</v>
      </c>
      <c r="F15" s="103">
        <v>671.04</v>
      </c>
      <c r="G15" s="103">
        <v>671.04</v>
      </c>
      <c r="H15" s="103">
        <v>671.04</v>
      </c>
      <c r="I15" s="103">
        <v>671.04</v>
      </c>
      <c r="J15" s="103">
        <v>671.04</v>
      </c>
      <c r="K15" s="103">
        <v>671.04</v>
      </c>
      <c r="L15" s="103">
        <v>671.04</v>
      </c>
      <c r="M15" s="103">
        <v>671.04</v>
      </c>
      <c r="N15" s="103">
        <v>671.04</v>
      </c>
      <c r="O15" s="103">
        <v>671.04</v>
      </c>
      <c r="P15" s="103">
        <v>671.04</v>
      </c>
      <c r="Q15" s="103">
        <f t="shared" si="1"/>
        <v>8052.48</v>
      </c>
    </row>
    <row r="16" spans="1:20" s="117" customFormat="1" x14ac:dyDescent="0.25">
      <c r="A16" s="31" t="s">
        <v>415</v>
      </c>
      <c r="B16" s="32" t="s">
        <v>407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  <c r="R16" s="120"/>
    </row>
    <row r="17" spans="1:17" x14ac:dyDescent="0.25">
      <c r="A17" s="31" t="s">
        <v>416</v>
      </c>
      <c r="B17" s="32" t="s">
        <v>407</v>
      </c>
      <c r="C17" s="102">
        <v>7800</v>
      </c>
      <c r="D17" s="102">
        <v>9.5276923076923072</v>
      </c>
      <c r="E17" s="103">
        <v>2620.69</v>
      </c>
      <c r="F17" s="103">
        <v>2620.69</v>
      </c>
      <c r="G17" s="103">
        <v>2620.69</v>
      </c>
      <c r="H17" s="103">
        <v>2620.69</v>
      </c>
      <c r="I17" s="103">
        <v>2620.69</v>
      </c>
      <c r="J17" s="103">
        <v>2620.69</v>
      </c>
      <c r="K17" s="103">
        <v>2620.69</v>
      </c>
      <c r="L17" s="103">
        <v>2620.69</v>
      </c>
      <c r="M17" s="103">
        <v>2620.69</v>
      </c>
      <c r="N17" s="103">
        <v>2620.69</v>
      </c>
      <c r="O17" s="103">
        <v>2620.69</v>
      </c>
      <c r="P17" s="103">
        <v>2620.69</v>
      </c>
      <c r="Q17" s="103">
        <f t="shared" si="1"/>
        <v>31448.279999999995</v>
      </c>
    </row>
    <row r="18" spans="1:17" x14ac:dyDescent="0.25">
      <c r="A18" s="31" t="s">
        <v>417</v>
      </c>
      <c r="B18" s="32" t="s">
        <v>407</v>
      </c>
      <c r="C18" s="102">
        <v>3000</v>
      </c>
      <c r="D18" s="102">
        <v>27.867999999999999</v>
      </c>
      <c r="E18" s="103">
        <v>1007.34</v>
      </c>
      <c r="F18" s="103">
        <v>1007.34</v>
      </c>
      <c r="G18" s="103">
        <v>1007.34</v>
      </c>
      <c r="H18" s="103">
        <v>1007.34</v>
      </c>
      <c r="I18" s="103">
        <v>1007.34</v>
      </c>
      <c r="J18" s="103">
        <v>1007.34</v>
      </c>
      <c r="K18" s="103">
        <v>1007.34</v>
      </c>
      <c r="L18" s="103">
        <v>1007.34</v>
      </c>
      <c r="M18" s="103">
        <v>1007.34</v>
      </c>
      <c r="N18" s="103">
        <v>1007.34</v>
      </c>
      <c r="O18" s="103">
        <v>1007.34</v>
      </c>
      <c r="P18" s="103">
        <v>1007.34</v>
      </c>
      <c r="Q18" s="103">
        <f t="shared" si="1"/>
        <v>12088.08</v>
      </c>
    </row>
    <row r="19" spans="1:17" x14ac:dyDescent="0.25">
      <c r="A19" s="31" t="s">
        <v>399</v>
      </c>
      <c r="B19" s="32" t="s">
        <v>407</v>
      </c>
      <c r="C19" s="102">
        <v>8700</v>
      </c>
      <c r="D19" s="102">
        <v>22</v>
      </c>
      <c r="E19" s="103">
        <v>2923.09</v>
      </c>
      <c r="F19" s="103">
        <v>2923.09</v>
      </c>
      <c r="G19" s="103">
        <v>2923.09</v>
      </c>
      <c r="H19" s="103">
        <v>2923.09</v>
      </c>
      <c r="I19" s="103">
        <v>2923.09</v>
      </c>
      <c r="J19" s="103">
        <v>2923.09</v>
      </c>
      <c r="K19" s="103">
        <v>2923.09</v>
      </c>
      <c r="L19" s="103">
        <v>2923.09</v>
      </c>
      <c r="M19" s="103">
        <v>2923.09</v>
      </c>
      <c r="N19" s="103">
        <v>2923.09</v>
      </c>
      <c r="O19" s="103">
        <v>2923.09</v>
      </c>
      <c r="P19" s="103">
        <v>2923.09</v>
      </c>
      <c r="Q19" s="103">
        <f t="shared" si="1"/>
        <v>35077.08</v>
      </c>
    </row>
    <row r="20" spans="1:17" x14ac:dyDescent="0.25">
      <c r="A20" s="125" t="s">
        <v>398</v>
      </c>
      <c r="B20" s="32" t="s">
        <v>407</v>
      </c>
      <c r="C20" s="102">
        <v>3000</v>
      </c>
      <c r="D20" s="102">
        <v>13.383200000000002</v>
      </c>
      <c r="E20" s="103">
        <v>1007.34</v>
      </c>
      <c r="F20" s="103">
        <v>1007.34</v>
      </c>
      <c r="G20" s="103">
        <v>1007.34</v>
      </c>
      <c r="H20" s="103">
        <v>1007.34</v>
      </c>
      <c r="I20" s="103">
        <v>1007.34</v>
      </c>
      <c r="J20" s="103">
        <v>1007.34</v>
      </c>
      <c r="K20" s="103">
        <v>1007.34</v>
      </c>
      <c r="L20" s="103">
        <v>1007.34</v>
      </c>
      <c r="M20" s="103">
        <v>1007.34</v>
      </c>
      <c r="N20" s="103">
        <v>1007.34</v>
      </c>
      <c r="O20" s="103">
        <v>1007.34</v>
      </c>
      <c r="P20" s="103">
        <v>1007.34</v>
      </c>
      <c r="Q20" s="103">
        <f t="shared" si="1"/>
        <v>12088.08</v>
      </c>
    </row>
    <row r="21" spans="1:17" x14ac:dyDescent="0.25">
      <c r="C21" s="105">
        <f>SUM(C7:C15)</f>
        <v>52588</v>
      </c>
    </row>
    <row r="22" spans="1:17" x14ac:dyDescent="0.25">
      <c r="A22" s="117" t="s">
        <v>208</v>
      </c>
      <c r="B22" s="118"/>
      <c r="C22" s="119"/>
      <c r="D22" s="119"/>
      <c r="E22" s="120">
        <f t="shared" ref="E22:P22" si="2">SUM(E6:E21)</f>
        <v>26193.390000000003</v>
      </c>
      <c r="F22" s="120">
        <f t="shared" si="2"/>
        <v>26193.390000000003</v>
      </c>
      <c r="G22" s="120">
        <f t="shared" si="2"/>
        <v>26193.390000000003</v>
      </c>
      <c r="H22" s="120">
        <f t="shared" si="2"/>
        <v>26193.390000000003</v>
      </c>
      <c r="I22" s="120">
        <f t="shared" si="2"/>
        <v>26193.390000000003</v>
      </c>
      <c r="J22" s="120">
        <f t="shared" si="2"/>
        <v>26193.390000000003</v>
      </c>
      <c r="K22" s="120">
        <f t="shared" si="2"/>
        <v>26193.390000000003</v>
      </c>
      <c r="L22" s="120">
        <f t="shared" si="2"/>
        <v>26193.390000000003</v>
      </c>
      <c r="M22" s="120">
        <f t="shared" si="2"/>
        <v>26193.390000000003</v>
      </c>
      <c r="N22" s="120">
        <f t="shared" si="2"/>
        <v>26193.390000000003</v>
      </c>
      <c r="O22" s="120">
        <f t="shared" si="2"/>
        <v>26193.390000000003</v>
      </c>
      <c r="P22" s="120">
        <f t="shared" si="2"/>
        <v>26193.390000000003</v>
      </c>
      <c r="Q22" s="120">
        <f>SUM(E22:P22)</f>
        <v>314320.68000000011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20" sqref="D20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102"/>
    <col min="4" max="16" width="9.140625" style="103"/>
    <col min="17" max="17" width="11.5703125" style="103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437</v>
      </c>
    </row>
    <row r="2" spans="1:19" x14ac:dyDescent="0.25">
      <c r="A2" s="12" t="s">
        <v>383</v>
      </c>
    </row>
    <row r="4" spans="1:19" s="104" customFormat="1" x14ac:dyDescent="0.25">
      <c r="A4" s="104" t="s">
        <v>374</v>
      </c>
      <c r="B4" s="104" t="s">
        <v>216</v>
      </c>
      <c r="C4" s="105" t="s">
        <v>375</v>
      </c>
      <c r="D4" s="105" t="s">
        <v>434</v>
      </c>
      <c r="E4" s="106">
        <v>42370</v>
      </c>
      <c r="F4" s="106">
        <v>42401</v>
      </c>
      <c r="G4" s="106">
        <v>42430</v>
      </c>
      <c r="H4" s="106">
        <v>42461</v>
      </c>
      <c r="I4" s="106">
        <v>42491</v>
      </c>
      <c r="J4" s="106">
        <v>42522</v>
      </c>
      <c r="K4" s="106">
        <v>42552</v>
      </c>
      <c r="L4" s="106">
        <v>42583</v>
      </c>
      <c r="M4" s="106">
        <v>42614</v>
      </c>
      <c r="N4" s="106">
        <v>42644</v>
      </c>
      <c r="O4" s="106">
        <v>42675</v>
      </c>
      <c r="P4" s="106">
        <v>42705</v>
      </c>
      <c r="Q4" s="107" t="s">
        <v>204</v>
      </c>
      <c r="R4" s="104" t="s">
        <v>0</v>
      </c>
      <c r="S4" s="104" t="s">
        <v>205</v>
      </c>
    </row>
    <row r="6" spans="1:19" s="24" customFormat="1" x14ac:dyDescent="0.25">
      <c r="A6" s="31" t="s">
        <v>400</v>
      </c>
      <c r="B6" s="32" t="s">
        <v>407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</row>
    <row r="7" spans="1:19" x14ac:dyDescent="0.25">
      <c r="A7" s="24" t="s">
        <v>408</v>
      </c>
      <c r="B7" s="25" t="s">
        <v>407</v>
      </c>
      <c r="C7" s="108">
        <f>12835+1958+2403</f>
        <v>17196</v>
      </c>
      <c r="D7" s="109">
        <v>16.23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f t="shared" ref="Q7:Q9" si="0">SUM(E7:P7)</f>
        <v>0</v>
      </c>
    </row>
    <row r="8" spans="1:19" s="24" customFormat="1" x14ac:dyDescent="0.25">
      <c r="A8" s="31" t="s">
        <v>409</v>
      </c>
      <c r="B8" s="32" t="s">
        <v>407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</row>
    <row r="9" spans="1:19" x14ac:dyDescent="0.25">
      <c r="A9" s="24" t="s">
        <v>410</v>
      </c>
      <c r="B9" s="25" t="s">
        <v>407</v>
      </c>
      <c r="C9" s="108">
        <v>976</v>
      </c>
      <c r="D9" s="109">
        <v>24.041065573770489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0"/>
        <v>0</v>
      </c>
    </row>
    <row r="10" spans="1:19" s="24" customFormat="1" x14ac:dyDescent="0.25">
      <c r="A10" s="31" t="s">
        <v>395</v>
      </c>
      <c r="B10" s="32" t="s">
        <v>407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</row>
    <row r="11" spans="1:19" x14ac:dyDescent="0.25">
      <c r="A11" s="31" t="s">
        <v>396</v>
      </c>
      <c r="B11" s="32" t="s">
        <v>407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</row>
    <row r="12" spans="1:19" s="24" customFormat="1" x14ac:dyDescent="0.25">
      <c r="A12" s="31" t="s">
        <v>401</v>
      </c>
      <c r="B12" s="32" t="s">
        <v>407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</row>
    <row r="13" spans="1:19" x14ac:dyDescent="0.25">
      <c r="A13" s="112" t="s">
        <v>435</v>
      </c>
      <c r="B13" s="113" t="s">
        <v>407</v>
      </c>
      <c r="C13" s="114">
        <v>1980</v>
      </c>
      <c r="D13" s="114">
        <v>20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f t="shared" si="1"/>
        <v>0</v>
      </c>
    </row>
    <row r="14" spans="1:19" x14ac:dyDescent="0.25">
      <c r="A14" s="31" t="s">
        <v>413</v>
      </c>
      <c r="B14" s="32" t="s">
        <v>407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19" x14ac:dyDescent="0.25">
      <c r="A15" s="31" t="s">
        <v>397</v>
      </c>
      <c r="B15" s="32" t="s">
        <v>407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  <c r="S15" s="125" t="s">
        <v>438</v>
      </c>
    </row>
    <row r="16" spans="1:19" s="117" customFormat="1" x14ac:dyDescent="0.25">
      <c r="A16" s="31" t="s">
        <v>415</v>
      </c>
      <c r="B16" s="32" t="s">
        <v>407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</row>
    <row r="17" spans="1:17" x14ac:dyDescent="0.25">
      <c r="A17" s="31" t="s">
        <v>416</v>
      </c>
      <c r="B17" s="32" t="s">
        <v>407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417</v>
      </c>
      <c r="B18" s="32" t="s">
        <v>407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399</v>
      </c>
      <c r="B19" s="32" t="s">
        <v>407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398</v>
      </c>
      <c r="B20" s="32" t="s">
        <v>407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C21" s="105">
        <f>SUM(C7:C15)</f>
        <v>52588</v>
      </c>
      <c r="D21" s="102"/>
    </row>
    <row r="22" spans="1:17" x14ac:dyDescent="0.25">
      <c r="A22" s="117" t="s">
        <v>208</v>
      </c>
      <c r="B22" s="118"/>
      <c r="C22" s="119"/>
      <c r="D22" s="119"/>
      <c r="E22" s="120">
        <f t="shared" ref="E22:P22" si="2">SUM(E6:E21)</f>
        <v>0</v>
      </c>
      <c r="F22" s="120">
        <f t="shared" si="2"/>
        <v>0</v>
      </c>
      <c r="G22" s="120">
        <f t="shared" si="2"/>
        <v>0</v>
      </c>
      <c r="H22" s="120">
        <f t="shared" si="2"/>
        <v>0</v>
      </c>
      <c r="I22" s="120">
        <f t="shared" si="2"/>
        <v>0</v>
      </c>
      <c r="J22" s="120">
        <f t="shared" si="2"/>
        <v>0</v>
      </c>
      <c r="K22" s="120">
        <f t="shared" si="2"/>
        <v>0</v>
      </c>
      <c r="L22" s="120">
        <f t="shared" si="2"/>
        <v>0</v>
      </c>
      <c r="M22" s="120">
        <f t="shared" si="2"/>
        <v>0</v>
      </c>
      <c r="N22" s="120">
        <f t="shared" si="2"/>
        <v>0</v>
      </c>
      <c r="O22" s="120">
        <f t="shared" si="2"/>
        <v>0</v>
      </c>
      <c r="P22" s="120">
        <f t="shared" si="2"/>
        <v>0</v>
      </c>
      <c r="Q22" s="120">
        <f>SUM(E22:P22)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96" customFormat="1" x14ac:dyDescent="0.25">
      <c r="A1" s="195" t="s">
        <v>542</v>
      </c>
      <c r="B1" s="195" t="s">
        <v>543</v>
      </c>
      <c r="C1" s="195" t="s">
        <v>544</v>
      </c>
      <c r="D1" s="195" t="s">
        <v>545</v>
      </c>
      <c r="E1" s="195" t="s">
        <v>546</v>
      </c>
      <c r="F1" s="195" t="s">
        <v>547</v>
      </c>
      <c r="G1" s="195" t="s">
        <v>548</v>
      </c>
      <c r="H1" s="195" t="s">
        <v>549</v>
      </c>
    </row>
    <row r="2" spans="1:8" x14ac:dyDescent="0.25">
      <c r="A2" s="197"/>
      <c r="B2" s="198"/>
      <c r="C2" s="198"/>
      <c r="D2" s="198"/>
      <c r="E2" s="199"/>
      <c r="F2" s="199"/>
      <c r="G2" s="200"/>
      <c r="H2" s="201"/>
    </row>
    <row r="3" spans="1:8" ht="26.25" x14ac:dyDescent="0.25">
      <c r="A3" s="194" t="s">
        <v>550</v>
      </c>
      <c r="B3" s="202" t="s">
        <v>551</v>
      </c>
      <c r="C3" s="203" t="s">
        <v>552</v>
      </c>
      <c r="D3" s="203">
        <v>2018</v>
      </c>
      <c r="E3" s="204">
        <v>48000</v>
      </c>
      <c r="F3" s="205" t="s">
        <v>553</v>
      </c>
      <c r="G3" s="206" t="s">
        <v>554</v>
      </c>
      <c r="H3" s="207">
        <v>43191</v>
      </c>
    </row>
    <row r="4" spans="1:8" x14ac:dyDescent="0.25">
      <c r="A4" s="194" t="s">
        <v>541</v>
      </c>
      <c r="B4" s="202" t="s">
        <v>555</v>
      </c>
      <c r="C4" s="203" t="s">
        <v>552</v>
      </c>
      <c r="D4" s="203">
        <v>2017</v>
      </c>
      <c r="E4" s="204">
        <v>75000</v>
      </c>
      <c r="F4" s="205" t="s">
        <v>553</v>
      </c>
      <c r="G4" s="206" t="s">
        <v>556</v>
      </c>
      <c r="H4" s="207">
        <v>42507</v>
      </c>
    </row>
    <row r="5" spans="1:8" x14ac:dyDescent="0.25">
      <c r="A5" s="194" t="s">
        <v>557</v>
      </c>
      <c r="B5" s="202" t="s">
        <v>558</v>
      </c>
      <c r="C5" s="203" t="s">
        <v>559</v>
      </c>
      <c r="D5" s="203">
        <v>2018</v>
      </c>
      <c r="E5" s="204">
        <v>50000</v>
      </c>
      <c r="F5" s="205" t="s">
        <v>553</v>
      </c>
      <c r="G5" s="206" t="s">
        <v>560</v>
      </c>
      <c r="H5" s="207">
        <v>42508</v>
      </c>
    </row>
    <row r="6" spans="1:8" x14ac:dyDescent="0.25">
      <c r="A6" s="194"/>
      <c r="B6" s="202"/>
      <c r="C6" s="203"/>
      <c r="D6" s="203"/>
      <c r="E6" s="204"/>
      <c r="F6" s="205"/>
      <c r="G6" s="206"/>
      <c r="H6" s="207"/>
    </row>
    <row r="7" spans="1:8" x14ac:dyDescent="0.25">
      <c r="A7" s="194"/>
      <c r="B7" s="202"/>
      <c r="C7" s="203"/>
      <c r="D7" s="203"/>
      <c r="E7" s="204"/>
      <c r="F7" s="205"/>
      <c r="G7" s="206"/>
      <c r="H7" s="207"/>
    </row>
    <row r="8" spans="1:8" x14ac:dyDescent="0.25">
      <c r="A8" s="194"/>
      <c r="B8" s="202"/>
      <c r="C8" s="203"/>
      <c r="D8" s="203"/>
      <c r="E8" s="204"/>
      <c r="F8" s="205"/>
      <c r="G8" s="206"/>
      <c r="H8" s="207"/>
    </row>
    <row r="9" spans="1:8" ht="54" customHeight="1" x14ac:dyDescent="0.25">
      <c r="A9" s="194"/>
      <c r="B9" s="202"/>
      <c r="C9" s="203"/>
      <c r="D9" s="203"/>
      <c r="E9" s="204"/>
      <c r="F9" s="205"/>
      <c r="G9" s="206"/>
      <c r="H9" s="207"/>
    </row>
    <row r="10" spans="1:8" x14ac:dyDescent="0.25">
      <c r="A10" s="194"/>
      <c r="B10" s="202"/>
      <c r="C10" s="203"/>
      <c r="D10" s="203"/>
      <c r="E10" s="204"/>
      <c r="F10" s="205"/>
      <c r="G10" s="206"/>
      <c r="H10" s="207"/>
    </row>
    <row r="11" spans="1:8" x14ac:dyDescent="0.25">
      <c r="A11" s="194"/>
      <c r="B11" s="202"/>
      <c r="C11" s="203"/>
      <c r="D11" s="203"/>
      <c r="E11" s="204"/>
      <c r="F11" s="205"/>
      <c r="G11" s="206"/>
      <c r="H11" s="207"/>
    </row>
    <row r="12" spans="1:8" x14ac:dyDescent="0.25">
      <c r="A12" s="194"/>
      <c r="B12" s="202"/>
      <c r="C12" s="203"/>
      <c r="D12" s="203"/>
      <c r="E12" s="204"/>
      <c r="F12" s="205"/>
      <c r="G12" s="206"/>
      <c r="H12" s="207"/>
    </row>
    <row r="13" spans="1:8" x14ac:dyDescent="0.25">
      <c r="A13" s="194"/>
      <c r="B13" s="202"/>
      <c r="C13" s="203"/>
      <c r="D13" s="203"/>
      <c r="E13" s="204"/>
      <c r="F13" s="205"/>
      <c r="G13" s="206"/>
      <c r="H13" s="207"/>
    </row>
    <row r="14" spans="1:8" x14ac:dyDescent="0.25">
      <c r="A14" s="194"/>
      <c r="B14" s="202"/>
      <c r="C14" s="203"/>
      <c r="D14" s="203"/>
      <c r="E14" s="204"/>
      <c r="F14" s="205"/>
      <c r="G14" s="206"/>
      <c r="H14" s="207"/>
    </row>
    <row r="15" spans="1:8" x14ac:dyDescent="0.25">
      <c r="A15" s="194"/>
      <c r="B15" s="202"/>
      <c r="C15" s="203"/>
      <c r="D15" s="203"/>
      <c r="E15" s="204"/>
      <c r="F15" s="205"/>
      <c r="G15" s="206"/>
      <c r="H15" s="207"/>
    </row>
    <row r="16" spans="1:8" x14ac:dyDescent="0.25">
      <c r="A16" s="194"/>
      <c r="B16" s="202"/>
      <c r="C16" s="203"/>
      <c r="D16" s="203"/>
      <c r="E16" s="204"/>
      <c r="F16" s="205"/>
      <c r="G16" s="206"/>
      <c r="H16" s="207"/>
    </row>
    <row r="17" spans="1:8" x14ac:dyDescent="0.25">
      <c r="A17" s="194"/>
      <c r="B17" s="202"/>
      <c r="C17" s="203"/>
      <c r="D17" s="203"/>
      <c r="E17" s="204"/>
      <c r="F17" s="205"/>
      <c r="G17" s="206"/>
      <c r="H17" s="207"/>
    </row>
    <row r="18" spans="1:8" x14ac:dyDescent="0.25">
      <c r="A18" s="194"/>
      <c r="B18" s="202"/>
      <c r="C18" s="203"/>
      <c r="D18" s="203"/>
      <c r="E18" s="204"/>
      <c r="F18" s="205"/>
      <c r="G18" s="206"/>
      <c r="H18" s="207"/>
    </row>
    <row r="19" spans="1:8" x14ac:dyDescent="0.25">
      <c r="A19" s="194"/>
      <c r="B19" s="202"/>
      <c r="C19" s="203"/>
      <c r="D19" s="203"/>
      <c r="E19" s="204"/>
      <c r="F19" s="205"/>
      <c r="G19" s="206"/>
      <c r="H19" s="207"/>
    </row>
    <row r="20" spans="1:8" x14ac:dyDescent="0.25">
      <c r="A20" s="208"/>
      <c r="B20" s="208"/>
      <c r="C20" s="208"/>
      <c r="D20" s="208"/>
      <c r="E20" s="208"/>
      <c r="F20" s="208"/>
      <c r="G20" s="208"/>
      <c r="H20" s="208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E7" sqref="E7"/>
    </sheetView>
  </sheetViews>
  <sheetFormatPr defaultRowHeight="15" x14ac:dyDescent="0.25"/>
  <cols>
    <col min="2" max="2" width="27.2851562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238" t="s">
        <v>393</v>
      </c>
      <c r="B1" s="238"/>
      <c r="C1" s="238"/>
      <c r="D1" s="238"/>
      <c r="E1" s="238"/>
      <c r="F1" s="238"/>
    </row>
    <row r="2" spans="1:10" ht="15.75" customHeight="1" x14ac:dyDescent="0.25">
      <c r="A2" s="238"/>
      <c r="B2" s="238"/>
      <c r="C2" s="238"/>
      <c r="D2" s="238"/>
      <c r="E2" s="238"/>
      <c r="F2" s="238"/>
    </row>
    <row r="3" spans="1:10" x14ac:dyDescent="0.25">
      <c r="A3" t="s">
        <v>592</v>
      </c>
      <c r="B3" t="s">
        <v>589</v>
      </c>
      <c r="C3" t="s">
        <v>590</v>
      </c>
      <c r="D3" t="s">
        <v>591</v>
      </c>
      <c r="E3" t="s">
        <v>588</v>
      </c>
      <c r="F3" t="s">
        <v>587</v>
      </c>
    </row>
    <row r="4" spans="1:10" x14ac:dyDescent="0.25">
      <c r="A4" s="218" t="s">
        <v>490</v>
      </c>
      <c r="B4" s="217" t="s">
        <v>586</v>
      </c>
      <c r="C4" s="188">
        <v>46491.23</v>
      </c>
      <c r="D4" s="216">
        <v>8.771929824561403E-3</v>
      </c>
      <c r="E4" s="188">
        <f t="shared" ref="E4:E21" si="0">D4*-$C$25</f>
        <v>-3719.3172000000004</v>
      </c>
      <c r="F4" s="188">
        <f t="shared" ref="F4:F21" si="1">E4/12</f>
        <v>-309.94310000000002</v>
      </c>
      <c r="I4" s="218" t="s">
        <v>467</v>
      </c>
      <c r="J4" s="5" t="s">
        <v>468</v>
      </c>
    </row>
    <row r="5" spans="1:10" x14ac:dyDescent="0.25">
      <c r="A5" s="218" t="s">
        <v>476</v>
      </c>
      <c r="B5" s="215" t="s">
        <v>585</v>
      </c>
      <c r="C5" s="214">
        <v>185964.91</v>
      </c>
      <c r="D5" s="213">
        <v>3.5087719298245612E-2</v>
      </c>
      <c r="E5" s="188">
        <f t="shared" si="0"/>
        <v>-14877.268800000002</v>
      </c>
      <c r="F5" s="188">
        <f t="shared" si="1"/>
        <v>-1239.7724000000001</v>
      </c>
      <c r="I5" s="218" t="s">
        <v>469</v>
      </c>
      <c r="J5" s="5" t="s">
        <v>470</v>
      </c>
    </row>
    <row r="6" spans="1:10" x14ac:dyDescent="0.25">
      <c r="A6" s="218" t="s">
        <v>467</v>
      </c>
      <c r="B6" s="217" t="s">
        <v>584</v>
      </c>
      <c r="C6" s="188">
        <v>185964.91</v>
      </c>
      <c r="D6" s="216">
        <v>3.5087719298245612E-2</v>
      </c>
      <c r="E6" s="188">
        <f t="shared" si="0"/>
        <v>-14877.268800000002</v>
      </c>
      <c r="F6" s="188">
        <f t="shared" si="1"/>
        <v>-1239.7724000000001</v>
      </c>
      <c r="I6" s="218" t="s">
        <v>157</v>
      </c>
      <c r="J6" s="5" t="s">
        <v>471</v>
      </c>
    </row>
    <row r="7" spans="1:10" x14ac:dyDescent="0.25">
      <c r="A7" s="218" t="s">
        <v>492</v>
      </c>
      <c r="B7" s="215" t="s">
        <v>583</v>
      </c>
      <c r="C7" s="214">
        <v>92982.46</v>
      </c>
      <c r="D7" s="213">
        <v>1.7543859649122806E-2</v>
      </c>
      <c r="E7" s="188">
        <f t="shared" si="0"/>
        <v>-7438.6344000000008</v>
      </c>
      <c r="F7" s="188">
        <f t="shared" si="1"/>
        <v>-619.88620000000003</v>
      </c>
      <c r="I7" s="218" t="s">
        <v>158</v>
      </c>
      <c r="J7" s="5" t="s">
        <v>472</v>
      </c>
    </row>
    <row r="8" spans="1:10" x14ac:dyDescent="0.25">
      <c r="A8" s="218" t="s">
        <v>474</v>
      </c>
      <c r="B8" s="217" t="s">
        <v>582</v>
      </c>
      <c r="C8" s="188">
        <v>116228.07</v>
      </c>
      <c r="D8" s="216">
        <v>2.1929824561403508E-2</v>
      </c>
      <c r="E8" s="188">
        <f t="shared" si="0"/>
        <v>-9298.2930000000015</v>
      </c>
      <c r="F8" s="188">
        <f t="shared" si="1"/>
        <v>-774.85775000000012</v>
      </c>
      <c r="I8" s="218" t="s">
        <v>159</v>
      </c>
      <c r="J8" s="5" t="s">
        <v>473</v>
      </c>
    </row>
    <row r="9" spans="1:10" x14ac:dyDescent="0.25">
      <c r="A9" s="218" t="s">
        <v>488</v>
      </c>
      <c r="B9" s="215" t="s">
        <v>581</v>
      </c>
      <c r="C9" s="214">
        <v>464912.28</v>
      </c>
      <c r="D9" s="213">
        <v>8.771929824561403E-2</v>
      </c>
      <c r="E9" s="188">
        <f t="shared" si="0"/>
        <v>-37193.172000000006</v>
      </c>
      <c r="F9" s="188">
        <f t="shared" si="1"/>
        <v>-3099.4310000000005</v>
      </c>
      <c r="I9" s="218" t="s">
        <v>474</v>
      </c>
      <c r="J9" s="5" t="s">
        <v>475</v>
      </c>
    </row>
    <row r="10" spans="1:10" x14ac:dyDescent="0.25">
      <c r="A10" s="218" t="s">
        <v>482</v>
      </c>
      <c r="B10" s="217" t="s">
        <v>580</v>
      </c>
      <c r="C10" s="188">
        <v>92982.46</v>
      </c>
      <c r="D10" s="216">
        <v>1.7543859649122806E-2</v>
      </c>
      <c r="E10" s="188">
        <f t="shared" si="0"/>
        <v>-7438.6344000000008</v>
      </c>
      <c r="F10" s="188">
        <f t="shared" si="1"/>
        <v>-619.88620000000003</v>
      </c>
      <c r="I10" s="218" t="s">
        <v>476</v>
      </c>
      <c r="J10" s="5" t="s">
        <v>477</v>
      </c>
    </row>
    <row r="11" spans="1:10" x14ac:dyDescent="0.25">
      <c r="A11" s="218" t="s">
        <v>494</v>
      </c>
      <c r="B11" s="215" t="s">
        <v>579</v>
      </c>
      <c r="C11" s="214">
        <v>1285482.46</v>
      </c>
      <c r="D11" s="213">
        <v>0.24254385964912281</v>
      </c>
      <c r="E11" s="188">
        <f t="shared" si="0"/>
        <v>-102839.12058000002</v>
      </c>
      <c r="F11" s="188">
        <f t="shared" si="1"/>
        <v>-8569.9267150000014</v>
      </c>
      <c r="I11" s="218" t="s">
        <v>478</v>
      </c>
      <c r="J11" s="5" t="s">
        <v>479</v>
      </c>
    </row>
    <row r="12" spans="1:10" x14ac:dyDescent="0.25">
      <c r="A12" s="218" t="s">
        <v>484</v>
      </c>
      <c r="B12" s="217" t="s">
        <v>578</v>
      </c>
      <c r="C12" s="188">
        <v>464912.28</v>
      </c>
      <c r="D12" s="216">
        <v>8.771929824561403E-2</v>
      </c>
      <c r="E12" s="188">
        <f t="shared" si="0"/>
        <v>-37193.172000000006</v>
      </c>
      <c r="F12" s="188">
        <f t="shared" si="1"/>
        <v>-3099.4310000000005</v>
      </c>
      <c r="I12" s="218" t="s">
        <v>480</v>
      </c>
      <c r="J12" s="5" t="s">
        <v>481</v>
      </c>
    </row>
    <row r="13" spans="1:10" x14ac:dyDescent="0.25">
      <c r="A13" s="218" t="s">
        <v>157</v>
      </c>
      <c r="B13" s="215" t="s">
        <v>577</v>
      </c>
      <c r="C13" s="214">
        <v>9693.42</v>
      </c>
      <c r="D13" s="213">
        <v>1.8289473684210526E-3</v>
      </c>
      <c r="E13" s="188">
        <f t="shared" si="0"/>
        <v>-775.47763620000012</v>
      </c>
      <c r="F13" s="188">
        <f t="shared" si="1"/>
        <v>-64.62313635000001</v>
      </c>
      <c r="I13" s="218" t="s">
        <v>482</v>
      </c>
      <c r="J13" s="5" t="s">
        <v>483</v>
      </c>
    </row>
    <row r="14" spans="1:10" x14ac:dyDescent="0.25">
      <c r="A14" s="218" t="s">
        <v>158</v>
      </c>
      <c r="B14" s="217" t="s">
        <v>576</v>
      </c>
      <c r="C14" s="188">
        <v>479824.33999999997</v>
      </c>
      <c r="D14" s="216">
        <v>9.0532894736842104E-2</v>
      </c>
      <c r="E14" s="188">
        <f t="shared" si="0"/>
        <v>-38386.142991900007</v>
      </c>
      <c r="F14" s="188">
        <f t="shared" si="1"/>
        <v>-3198.8452493250006</v>
      </c>
      <c r="I14" s="218" t="s">
        <v>484</v>
      </c>
      <c r="J14" s="5" t="s">
        <v>485</v>
      </c>
    </row>
    <row r="15" spans="1:10" x14ac:dyDescent="0.25">
      <c r="A15" s="218" t="s">
        <v>496</v>
      </c>
      <c r="B15" s="215" t="s">
        <v>575</v>
      </c>
      <c r="C15" s="214">
        <v>511430.51</v>
      </c>
      <c r="D15" s="213">
        <v>9.6491228070175433E-2</v>
      </c>
      <c r="E15" s="188">
        <f t="shared" si="0"/>
        <v>-40912.489200000004</v>
      </c>
      <c r="F15" s="188">
        <f t="shared" si="1"/>
        <v>-3409.3741000000005</v>
      </c>
      <c r="I15" s="218" t="s">
        <v>531</v>
      </c>
      <c r="J15" s="5" t="s">
        <v>532</v>
      </c>
    </row>
    <row r="16" spans="1:10" x14ac:dyDescent="0.25">
      <c r="A16" s="218" t="s">
        <v>531</v>
      </c>
      <c r="B16" s="217" t="s">
        <v>574</v>
      </c>
      <c r="C16" s="188">
        <v>92982.46</v>
      </c>
      <c r="D16" s="216">
        <v>1.7543859649122806E-2</v>
      </c>
      <c r="E16" s="188">
        <f t="shared" si="0"/>
        <v>-7438.6344000000008</v>
      </c>
      <c r="F16" s="188">
        <f t="shared" si="1"/>
        <v>-619.88620000000003</v>
      </c>
      <c r="I16" s="218" t="s">
        <v>486</v>
      </c>
      <c r="J16" s="5" t="s">
        <v>487</v>
      </c>
    </row>
    <row r="17" spans="1:10" x14ac:dyDescent="0.25">
      <c r="A17" s="218" t="s">
        <v>469</v>
      </c>
      <c r="B17" s="215" t="s">
        <v>573</v>
      </c>
      <c r="C17" s="214">
        <v>92982.46</v>
      </c>
      <c r="D17" s="213">
        <v>1.7543859649122806E-2</v>
      </c>
      <c r="E17" s="188">
        <f t="shared" si="0"/>
        <v>-7438.6344000000008</v>
      </c>
      <c r="F17" s="188">
        <f t="shared" si="1"/>
        <v>-619.88620000000003</v>
      </c>
      <c r="I17" s="218" t="s">
        <v>488</v>
      </c>
      <c r="J17" s="5" t="s">
        <v>489</v>
      </c>
    </row>
    <row r="18" spans="1:10" x14ac:dyDescent="0.25">
      <c r="A18" s="218" t="s">
        <v>159</v>
      </c>
      <c r="B18" s="217" t="s">
        <v>572</v>
      </c>
      <c r="C18" s="188">
        <v>479824.33999999997</v>
      </c>
      <c r="D18" s="216">
        <v>9.0532894736842104E-2</v>
      </c>
      <c r="E18" s="188">
        <f t="shared" si="0"/>
        <v>-38386.142991900007</v>
      </c>
      <c r="F18" s="188">
        <f t="shared" si="1"/>
        <v>-3198.8452493250006</v>
      </c>
      <c r="I18" s="218" t="s">
        <v>490</v>
      </c>
      <c r="J18" s="5" t="s">
        <v>491</v>
      </c>
    </row>
    <row r="19" spans="1:10" x14ac:dyDescent="0.25">
      <c r="A19" s="218" t="s">
        <v>478</v>
      </c>
      <c r="B19" s="215" t="s">
        <v>571</v>
      </c>
      <c r="C19" s="214">
        <v>46491.23</v>
      </c>
      <c r="D19" s="213">
        <v>8.771929824561403E-3</v>
      </c>
      <c r="E19" s="188">
        <f t="shared" si="0"/>
        <v>-3719.3172000000004</v>
      </c>
      <c r="F19" s="188">
        <f t="shared" si="1"/>
        <v>-309.94310000000002</v>
      </c>
      <c r="I19" s="218" t="s">
        <v>492</v>
      </c>
      <c r="J19" s="5" t="s">
        <v>493</v>
      </c>
    </row>
    <row r="20" spans="1:10" x14ac:dyDescent="0.25">
      <c r="A20" s="218" t="s">
        <v>486</v>
      </c>
      <c r="B20" s="217" t="s">
        <v>570</v>
      </c>
      <c r="C20" s="188">
        <v>185964.91</v>
      </c>
      <c r="D20" s="216">
        <v>3.5087719298245612E-2</v>
      </c>
      <c r="E20" s="188">
        <f t="shared" si="0"/>
        <v>-14877.268800000002</v>
      </c>
      <c r="F20" s="188">
        <f t="shared" si="1"/>
        <v>-1239.7724000000001</v>
      </c>
      <c r="I20" s="218" t="s">
        <v>494</v>
      </c>
      <c r="J20" s="5" t="s">
        <v>495</v>
      </c>
    </row>
    <row r="21" spans="1:10" x14ac:dyDescent="0.25">
      <c r="A21" s="218" t="s">
        <v>480</v>
      </c>
      <c r="B21" s="215" t="s">
        <v>569</v>
      </c>
      <c r="C21" s="214">
        <v>464912.28</v>
      </c>
      <c r="D21" s="213">
        <v>8.771929824561403E-2</v>
      </c>
      <c r="E21" s="188">
        <f t="shared" si="0"/>
        <v>-37193.172000000006</v>
      </c>
      <c r="F21" s="188">
        <f t="shared" si="1"/>
        <v>-3099.4310000000005</v>
      </c>
      <c r="I21" s="218" t="s">
        <v>496</v>
      </c>
      <c r="J21" s="5" t="s">
        <v>497</v>
      </c>
    </row>
    <row r="22" spans="1:10" x14ac:dyDescent="0.25">
      <c r="B22" s="212" t="s">
        <v>568</v>
      </c>
      <c r="C22" s="211">
        <v>5300027.0100000007</v>
      </c>
      <c r="D22" s="210">
        <v>1</v>
      </c>
      <c r="E22" s="209">
        <f>SUM(E4:E21)</f>
        <v>-424002.16080000007</v>
      </c>
      <c r="F22" s="209">
        <f>SUM(F4:F21)</f>
        <v>-35333.513400000011</v>
      </c>
    </row>
    <row r="25" spans="1:10" x14ac:dyDescent="0.25">
      <c r="B25" t="s">
        <v>567</v>
      </c>
      <c r="C25" s="188">
        <f>C22*0.08</f>
        <v>424002.16080000007</v>
      </c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People's Loan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2016-10-20T14:51:49Z</cp:lastPrinted>
  <dcterms:created xsi:type="dcterms:W3CDTF">2016-04-01T21:07:40Z</dcterms:created>
  <dcterms:modified xsi:type="dcterms:W3CDTF">2016-10-21T20:53:55Z</dcterms:modified>
</cp:coreProperties>
</file>