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Shared\PROPERTIES\Simon\Budgets\"/>
    </mc:Choice>
  </mc:AlternateContent>
  <bookViews>
    <workbookView xWindow="0" yWindow="0" windowWidth="14370" windowHeight="12360" tabRatio="659" firstSheet="2" activeTab="2"/>
  </bookViews>
  <sheets>
    <sheet name="cf" sheetId="4" state="hidden" r:id="rId1"/>
    <sheet name="Op Budget 2016" sheetId="6" state="hidden" r:id="rId2"/>
    <sheet name="2017 Projected" sheetId="5" r:id="rId3"/>
    <sheet name="Min Rent 2017" sheetId="9" r:id="rId4"/>
    <sheet name="CAM est 2017" sheetId="10" r:id="rId5"/>
    <sheet name="RETaxes 2017" sheetId="11" r:id="rId6"/>
    <sheet name="Ins 2016" sheetId="12" r:id="rId7"/>
    <sheet name="CapEx 2016" sheetId="14" r:id="rId8"/>
    <sheet name="Distributions" sheetId="15" r:id="rId9"/>
    <sheet name="People's Loan" sheetId="16" r:id="rId10"/>
    <sheet name="Assumptions" sheetId="7" r:id="rId11"/>
    <sheet name="Broker's Comm" sheetId="8" r:id="rId12"/>
  </sheets>
  <externalReferences>
    <externalReference r:id="rId13"/>
  </externalReferences>
  <definedNames>
    <definedName name="_xlnm.Print_Area" localSheetId="2">'2017 Projected'!$A$1:$R$180</definedName>
    <definedName name="_xlnm.Print_Area" localSheetId="8">Distributions!$A$1:$F$11</definedName>
    <definedName name="_xlnm.Print_Titles" localSheetId="2">'2017 Projected'!$1:$5</definedName>
    <definedName name="_xlnm.Print_Titles" localSheetId="0">cf!$1:$5</definedName>
  </definedNames>
  <calcPr calcId="152511"/>
</workbook>
</file>

<file path=xl/calcChain.xml><?xml version="1.0" encoding="utf-8"?>
<calcChain xmlns="http://schemas.openxmlformats.org/spreadsheetml/2006/main">
  <c r="G86" i="5" l="1"/>
  <c r="D86" i="5"/>
  <c r="E97" i="5" l="1"/>
  <c r="F97" i="5"/>
  <c r="G97" i="5"/>
  <c r="H97" i="5"/>
  <c r="I97" i="5"/>
  <c r="J97" i="5"/>
  <c r="K97" i="5"/>
  <c r="L97" i="5"/>
  <c r="M97" i="5"/>
  <c r="N97" i="5"/>
  <c r="O97" i="5"/>
  <c r="N75" i="5"/>
  <c r="K75" i="5"/>
  <c r="I75" i="5"/>
  <c r="P64" i="5"/>
  <c r="E155" i="5"/>
  <c r="E156" i="5"/>
  <c r="E157" i="5"/>
  <c r="E154" i="5"/>
  <c r="D5" i="15"/>
  <c r="D6" i="15"/>
  <c r="D7" i="15"/>
  <c r="D4" i="15"/>
  <c r="C8" i="15"/>
  <c r="E123" i="5"/>
  <c r="F123" i="5"/>
  <c r="G123" i="5"/>
  <c r="H123" i="5"/>
  <c r="I123" i="5"/>
  <c r="K123" i="5"/>
  <c r="L123" i="5"/>
  <c r="N123" i="5"/>
  <c r="O123" i="5"/>
  <c r="D123" i="5"/>
  <c r="D124" i="5" s="1"/>
  <c r="O58" i="16"/>
  <c r="O59" i="16"/>
  <c r="O60" i="16"/>
  <c r="O61" i="16"/>
  <c r="O62" i="16"/>
  <c r="O63" i="16"/>
  <c r="O64" i="16"/>
  <c r="O65" i="16"/>
  <c r="O66" i="16"/>
  <c r="O67" i="16"/>
  <c r="O68" i="16"/>
  <c r="O57" i="16"/>
  <c r="P113" i="5"/>
  <c r="D114" i="5"/>
  <c r="M58" i="16"/>
  <c r="M59" i="16"/>
  <c r="M60" i="16"/>
  <c r="M61" i="16"/>
  <c r="M62" i="16"/>
  <c r="M63" i="16"/>
  <c r="M64" i="16"/>
  <c r="M65" i="16"/>
  <c r="M66" i="16"/>
  <c r="M67" i="16"/>
  <c r="M68" i="16"/>
  <c r="M57" i="16"/>
  <c r="G98" i="16"/>
  <c r="F98" i="16"/>
  <c r="G97" i="16"/>
  <c r="F97" i="16"/>
  <c r="G96" i="16"/>
  <c r="F96" i="16"/>
  <c r="G95" i="16"/>
  <c r="F95" i="16"/>
  <c r="G94" i="16"/>
  <c r="F94" i="16"/>
  <c r="G93" i="16"/>
  <c r="F93" i="16"/>
  <c r="G92" i="16"/>
  <c r="F92" i="16"/>
  <c r="G91" i="16"/>
  <c r="F91" i="16"/>
  <c r="G90" i="16"/>
  <c r="F90" i="16"/>
  <c r="G89" i="16"/>
  <c r="F89" i="16"/>
  <c r="G88" i="16"/>
  <c r="F88" i="16"/>
  <c r="G87" i="16"/>
  <c r="F87" i="16"/>
  <c r="G86" i="16"/>
  <c r="F86" i="16"/>
  <c r="G85" i="16"/>
  <c r="F85" i="16"/>
  <c r="G84" i="16"/>
  <c r="F84" i="16"/>
  <c r="G83" i="16"/>
  <c r="F83" i="16"/>
  <c r="G82" i="16"/>
  <c r="F82" i="16"/>
  <c r="G81" i="16"/>
  <c r="F81" i="16"/>
  <c r="G80" i="16"/>
  <c r="F80" i="16"/>
  <c r="G79" i="16"/>
  <c r="F79" i="16"/>
  <c r="G78" i="16"/>
  <c r="F78" i="16"/>
  <c r="G77" i="16"/>
  <c r="F77" i="16"/>
  <c r="G76" i="16"/>
  <c r="F76" i="16"/>
  <c r="G75" i="16"/>
  <c r="F75" i="16"/>
  <c r="G74" i="16"/>
  <c r="F74" i="16"/>
  <c r="G73" i="16"/>
  <c r="F73" i="16"/>
  <c r="G72" i="16"/>
  <c r="F72" i="16"/>
  <c r="G71" i="16"/>
  <c r="F71" i="16"/>
  <c r="G70" i="16"/>
  <c r="F70" i="16"/>
  <c r="G69" i="16"/>
  <c r="F69" i="16"/>
  <c r="G68" i="16"/>
  <c r="F68" i="16"/>
  <c r="G67" i="16"/>
  <c r="F67" i="16"/>
  <c r="G66" i="16"/>
  <c r="F66" i="16"/>
  <c r="G65" i="16"/>
  <c r="F65" i="16"/>
  <c r="G64" i="16"/>
  <c r="F64" i="16"/>
  <c r="G63" i="16"/>
  <c r="F63" i="16"/>
  <c r="G62" i="16"/>
  <c r="F62" i="16"/>
  <c r="G61" i="16"/>
  <c r="F61" i="16"/>
  <c r="G60" i="16"/>
  <c r="F60" i="16"/>
  <c r="G59" i="16"/>
  <c r="F59" i="16"/>
  <c r="G58" i="16"/>
  <c r="F58" i="16"/>
  <c r="G57" i="16"/>
  <c r="F57" i="16"/>
  <c r="G56" i="16"/>
  <c r="F56" i="16"/>
  <c r="G55" i="16"/>
  <c r="F55" i="16"/>
  <c r="A55" i="16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G54" i="16"/>
  <c r="F54" i="16"/>
  <c r="G53" i="16"/>
  <c r="F53" i="16"/>
  <c r="A53" i="16"/>
  <c r="A54" i="16" s="1"/>
  <c r="G52" i="16"/>
  <c r="F52" i="16"/>
  <c r="A52" i="16"/>
  <c r="G51" i="16"/>
  <c r="F51" i="16"/>
  <c r="G50" i="16"/>
  <c r="F50" i="16"/>
  <c r="G49" i="16"/>
  <c r="F49" i="16"/>
  <c r="G48" i="16"/>
  <c r="F48" i="16"/>
  <c r="G47" i="16"/>
  <c r="F47" i="16"/>
  <c r="G46" i="16"/>
  <c r="F46" i="16"/>
  <c r="G45" i="16"/>
  <c r="F45" i="16"/>
  <c r="G44" i="16"/>
  <c r="F44" i="16"/>
  <c r="G43" i="16"/>
  <c r="F43" i="16"/>
  <c r="G42" i="16"/>
  <c r="F42" i="16"/>
  <c r="G41" i="16"/>
  <c r="F41" i="16"/>
  <c r="G40" i="16"/>
  <c r="F40" i="16"/>
  <c r="G39" i="16"/>
  <c r="F39" i="16"/>
  <c r="G38" i="16"/>
  <c r="F38" i="16"/>
  <c r="G37" i="16"/>
  <c r="F37" i="16"/>
  <c r="G36" i="16"/>
  <c r="F36" i="16"/>
  <c r="G35" i="16"/>
  <c r="F35" i="16"/>
  <c r="G34" i="16"/>
  <c r="F34" i="16"/>
  <c r="G33" i="16"/>
  <c r="F33" i="16"/>
  <c r="G32" i="16"/>
  <c r="F32" i="16"/>
  <c r="G31" i="16"/>
  <c r="F31" i="16"/>
  <c r="G30" i="16"/>
  <c r="F30" i="16"/>
  <c r="G29" i="16"/>
  <c r="F29" i="16"/>
  <c r="G28" i="16"/>
  <c r="F28" i="16"/>
  <c r="G27" i="16"/>
  <c r="F27" i="16"/>
  <c r="G26" i="16"/>
  <c r="F26" i="16"/>
  <c r="G25" i="16"/>
  <c r="F25" i="16"/>
  <c r="G24" i="16"/>
  <c r="F24" i="16"/>
  <c r="G23" i="16"/>
  <c r="F23" i="16"/>
  <c r="G22" i="16"/>
  <c r="F22" i="16"/>
  <c r="G21" i="16"/>
  <c r="F21" i="16"/>
  <c r="G20" i="16"/>
  <c r="F20" i="16"/>
  <c r="G19" i="16"/>
  <c r="F19" i="16"/>
  <c r="G18" i="16"/>
  <c r="F18" i="16"/>
  <c r="G17" i="16"/>
  <c r="F17" i="16"/>
  <c r="G16" i="16"/>
  <c r="F16" i="16"/>
  <c r="G15" i="16"/>
  <c r="F15" i="16"/>
  <c r="C12" i="16"/>
  <c r="H96" i="16" s="1"/>
  <c r="I96" i="16" s="1"/>
  <c r="P105" i="5"/>
  <c r="P107" i="5"/>
  <c r="Q107" i="5" s="1"/>
  <c r="P108" i="5"/>
  <c r="P103" i="5"/>
  <c r="H15" i="16" l="1"/>
  <c r="I15" i="16" s="1"/>
  <c r="H16" i="16"/>
  <c r="I16" i="16" s="1"/>
  <c r="H17" i="16"/>
  <c r="I17" i="16" s="1"/>
  <c r="H18" i="16"/>
  <c r="I18" i="16" s="1"/>
  <c r="H19" i="16"/>
  <c r="I19" i="16" s="1"/>
  <c r="H20" i="16"/>
  <c r="I20" i="16" s="1"/>
  <c r="H21" i="16"/>
  <c r="I21" i="16" s="1"/>
  <c r="H22" i="16"/>
  <c r="I22" i="16" s="1"/>
  <c r="H23" i="16"/>
  <c r="I23" i="16" s="1"/>
  <c r="H24" i="16"/>
  <c r="I24" i="16" s="1"/>
  <c r="H25" i="16"/>
  <c r="I25" i="16" s="1"/>
  <c r="H26" i="16"/>
  <c r="I26" i="16" s="1"/>
  <c r="H27" i="16"/>
  <c r="I27" i="16" s="1"/>
  <c r="H28" i="16"/>
  <c r="I28" i="16" s="1"/>
  <c r="H29" i="16"/>
  <c r="I29" i="16" s="1"/>
  <c r="H30" i="16"/>
  <c r="I30" i="16" s="1"/>
  <c r="H31" i="16"/>
  <c r="I31" i="16" s="1"/>
  <c r="H32" i="16"/>
  <c r="I32" i="16" s="1"/>
  <c r="H33" i="16"/>
  <c r="I33" i="16" s="1"/>
  <c r="H34" i="16"/>
  <c r="I34" i="16" s="1"/>
  <c r="H35" i="16"/>
  <c r="I35" i="16" s="1"/>
  <c r="H36" i="16"/>
  <c r="I36" i="16" s="1"/>
  <c r="H52" i="16"/>
  <c r="I52" i="16" s="1"/>
  <c r="H56" i="16"/>
  <c r="I56" i="16" s="1"/>
  <c r="H60" i="16"/>
  <c r="I60" i="16" s="1"/>
  <c r="H64" i="16"/>
  <c r="I64" i="16" s="1"/>
  <c r="H68" i="16"/>
  <c r="I68" i="16" s="1"/>
  <c r="H72" i="16"/>
  <c r="I72" i="16" s="1"/>
  <c r="H76" i="16"/>
  <c r="I76" i="16" s="1"/>
  <c r="H80" i="16"/>
  <c r="I80" i="16" s="1"/>
  <c r="H84" i="16"/>
  <c r="I84" i="16" s="1"/>
  <c r="H88" i="16"/>
  <c r="I88" i="16" s="1"/>
  <c r="H92" i="16"/>
  <c r="I92" i="16" s="1"/>
  <c r="H97" i="16"/>
  <c r="I97" i="16" s="1"/>
  <c r="H95" i="16"/>
  <c r="I95" i="16" s="1"/>
  <c r="H93" i="16"/>
  <c r="I93" i="16" s="1"/>
  <c r="H91" i="16"/>
  <c r="I91" i="16" s="1"/>
  <c r="H89" i="16"/>
  <c r="I89" i="16" s="1"/>
  <c r="H87" i="16"/>
  <c r="I87" i="16" s="1"/>
  <c r="H85" i="16"/>
  <c r="I85" i="16" s="1"/>
  <c r="H83" i="16"/>
  <c r="I83" i="16" s="1"/>
  <c r="H81" i="16"/>
  <c r="I81" i="16" s="1"/>
  <c r="H79" i="16"/>
  <c r="I79" i="16" s="1"/>
  <c r="H77" i="16"/>
  <c r="I77" i="16" s="1"/>
  <c r="H75" i="16"/>
  <c r="I75" i="16" s="1"/>
  <c r="H73" i="16"/>
  <c r="I73" i="16" s="1"/>
  <c r="H71" i="16"/>
  <c r="I71" i="16" s="1"/>
  <c r="H69" i="16"/>
  <c r="I69" i="16" s="1"/>
  <c r="H67" i="16"/>
  <c r="I67" i="16" s="1"/>
  <c r="H65" i="16"/>
  <c r="I65" i="16" s="1"/>
  <c r="H63" i="16"/>
  <c r="I63" i="16" s="1"/>
  <c r="H61" i="16"/>
  <c r="I61" i="16" s="1"/>
  <c r="H59" i="16"/>
  <c r="I59" i="16" s="1"/>
  <c r="H57" i="16"/>
  <c r="I57" i="16" s="1"/>
  <c r="H55" i="16"/>
  <c r="I55" i="16" s="1"/>
  <c r="H53" i="16"/>
  <c r="I53" i="16" s="1"/>
  <c r="H51" i="16"/>
  <c r="I51" i="16" s="1"/>
  <c r="H50" i="16"/>
  <c r="I50" i="16" s="1"/>
  <c r="H49" i="16"/>
  <c r="I49" i="16" s="1"/>
  <c r="H48" i="16"/>
  <c r="I48" i="16" s="1"/>
  <c r="H47" i="16"/>
  <c r="I47" i="16" s="1"/>
  <c r="H46" i="16"/>
  <c r="I46" i="16" s="1"/>
  <c r="H45" i="16"/>
  <c r="I45" i="16" s="1"/>
  <c r="H44" i="16"/>
  <c r="I44" i="16" s="1"/>
  <c r="H43" i="16"/>
  <c r="I43" i="16" s="1"/>
  <c r="H42" i="16"/>
  <c r="I42" i="16" s="1"/>
  <c r="H41" i="16"/>
  <c r="I41" i="16" s="1"/>
  <c r="H40" i="16"/>
  <c r="I40" i="16" s="1"/>
  <c r="H39" i="16"/>
  <c r="I39" i="16" s="1"/>
  <c r="H38" i="16"/>
  <c r="I38" i="16" s="1"/>
  <c r="H37" i="16"/>
  <c r="I37" i="16" s="1"/>
  <c r="H54" i="16"/>
  <c r="I54" i="16" s="1"/>
  <c r="H58" i="16"/>
  <c r="I58" i="16" s="1"/>
  <c r="H62" i="16"/>
  <c r="I62" i="16" s="1"/>
  <c r="H66" i="16"/>
  <c r="I66" i="16" s="1"/>
  <c r="H70" i="16"/>
  <c r="I70" i="16" s="1"/>
  <c r="H74" i="16"/>
  <c r="I74" i="16" s="1"/>
  <c r="H78" i="16"/>
  <c r="I78" i="16" s="1"/>
  <c r="H82" i="16"/>
  <c r="I82" i="16" s="1"/>
  <c r="H86" i="16"/>
  <c r="I86" i="16" s="1"/>
  <c r="H90" i="16"/>
  <c r="I90" i="16" s="1"/>
  <c r="H94" i="16"/>
  <c r="I94" i="16" s="1"/>
  <c r="H98" i="16"/>
  <c r="I98" i="16" s="1"/>
  <c r="D70" i="5"/>
  <c r="E70" i="5"/>
  <c r="F70" i="5"/>
  <c r="G70" i="5"/>
  <c r="H70" i="5"/>
  <c r="I70" i="5"/>
  <c r="J70" i="5"/>
  <c r="K70" i="5"/>
  <c r="L70" i="5"/>
  <c r="M70" i="5"/>
  <c r="N70" i="5"/>
  <c r="O70" i="5"/>
  <c r="Q70" i="5"/>
  <c r="C79" i="5"/>
  <c r="Q62" i="5"/>
  <c r="D66" i="5"/>
  <c r="E66" i="5"/>
  <c r="F66" i="5"/>
  <c r="G66" i="5"/>
  <c r="H66" i="5"/>
  <c r="I66" i="5"/>
  <c r="J66" i="5"/>
  <c r="K66" i="5"/>
  <c r="L66" i="5"/>
  <c r="M66" i="5"/>
  <c r="N66" i="5"/>
  <c r="O66" i="5"/>
  <c r="D67" i="5"/>
  <c r="E67" i="5"/>
  <c r="F67" i="5"/>
  <c r="G67" i="5"/>
  <c r="H67" i="5"/>
  <c r="I67" i="5"/>
  <c r="J67" i="5"/>
  <c r="K67" i="5"/>
  <c r="L67" i="5"/>
  <c r="M67" i="5"/>
  <c r="N67" i="5"/>
  <c r="O67" i="5"/>
  <c r="D68" i="5"/>
  <c r="E68" i="5"/>
  <c r="F68" i="5"/>
  <c r="G68" i="5"/>
  <c r="H68" i="5"/>
  <c r="I68" i="5"/>
  <c r="J68" i="5"/>
  <c r="K68" i="5"/>
  <c r="L68" i="5"/>
  <c r="M68" i="5"/>
  <c r="N68" i="5"/>
  <c r="O68" i="5"/>
  <c r="D69" i="5"/>
  <c r="E69" i="5"/>
  <c r="F69" i="5"/>
  <c r="G69" i="5"/>
  <c r="H69" i="5"/>
  <c r="I69" i="5"/>
  <c r="J69" i="5"/>
  <c r="K69" i="5"/>
  <c r="L69" i="5"/>
  <c r="M69" i="5"/>
  <c r="N69" i="5"/>
  <c r="O69" i="5"/>
  <c r="D71" i="5"/>
  <c r="E71" i="5"/>
  <c r="F71" i="5"/>
  <c r="G71" i="5"/>
  <c r="H71" i="5"/>
  <c r="I71" i="5"/>
  <c r="J71" i="5"/>
  <c r="K71" i="5"/>
  <c r="L71" i="5"/>
  <c r="M71" i="5"/>
  <c r="N71" i="5"/>
  <c r="O71" i="5"/>
  <c r="D72" i="5"/>
  <c r="E72" i="5"/>
  <c r="F72" i="5"/>
  <c r="G72" i="5"/>
  <c r="H72" i="5"/>
  <c r="I72" i="5"/>
  <c r="J72" i="5"/>
  <c r="K72" i="5"/>
  <c r="L72" i="5"/>
  <c r="M72" i="5"/>
  <c r="N72" i="5"/>
  <c r="O72" i="5"/>
  <c r="D73" i="5"/>
  <c r="E73" i="5"/>
  <c r="F73" i="5"/>
  <c r="G73" i="5"/>
  <c r="H73" i="5"/>
  <c r="I73" i="5"/>
  <c r="J73" i="5"/>
  <c r="K73" i="5"/>
  <c r="L73" i="5"/>
  <c r="M73" i="5"/>
  <c r="N73" i="5"/>
  <c r="O73" i="5"/>
  <c r="D74" i="5"/>
  <c r="E74" i="5"/>
  <c r="F74" i="5"/>
  <c r="G74" i="5"/>
  <c r="H74" i="5"/>
  <c r="I74" i="5"/>
  <c r="J74" i="5"/>
  <c r="K74" i="5"/>
  <c r="L74" i="5"/>
  <c r="M74" i="5"/>
  <c r="N74" i="5"/>
  <c r="O74" i="5"/>
  <c r="D75" i="5"/>
  <c r="E75" i="5"/>
  <c r="F75" i="5"/>
  <c r="G75" i="5"/>
  <c r="H75" i="5"/>
  <c r="J75" i="5"/>
  <c r="L75" i="5"/>
  <c r="M75" i="5"/>
  <c r="O75" i="5"/>
  <c r="D76" i="5"/>
  <c r="E76" i="5"/>
  <c r="F76" i="5"/>
  <c r="G76" i="5"/>
  <c r="H76" i="5"/>
  <c r="I76" i="5"/>
  <c r="J76" i="5"/>
  <c r="K76" i="5"/>
  <c r="L76" i="5"/>
  <c r="M76" i="5"/>
  <c r="N76" i="5"/>
  <c r="O76" i="5"/>
  <c r="D77" i="5"/>
  <c r="E77" i="5"/>
  <c r="F77" i="5"/>
  <c r="G77" i="5"/>
  <c r="H77" i="5"/>
  <c r="I77" i="5"/>
  <c r="J77" i="5"/>
  <c r="K77" i="5"/>
  <c r="L77" i="5"/>
  <c r="M77" i="5"/>
  <c r="N77" i="5"/>
  <c r="O77" i="5"/>
  <c r="D63" i="5"/>
  <c r="P63" i="5"/>
  <c r="E63" i="5" s="1"/>
  <c r="Q13" i="11"/>
  <c r="Q12" i="11"/>
  <c r="Q11" i="11"/>
  <c r="Q10" i="11"/>
  <c r="Q9" i="11"/>
  <c r="Q8" i="11"/>
  <c r="Q6" i="11"/>
  <c r="Q7" i="11"/>
  <c r="J86" i="5"/>
  <c r="C22" i="10"/>
  <c r="Q6" i="9"/>
  <c r="Q7" i="9"/>
  <c r="Q8" i="9"/>
  <c r="Q9" i="9"/>
  <c r="Q10" i="9"/>
  <c r="Q11" i="9"/>
  <c r="Q12" i="9"/>
  <c r="Q5" i="9"/>
  <c r="H63" i="5" l="1"/>
  <c r="L63" i="5"/>
  <c r="N63" i="5"/>
  <c r="J63" i="5"/>
  <c r="F63" i="5"/>
  <c r="M86" i="5"/>
  <c r="M123" i="5" s="1"/>
  <c r="J123" i="5"/>
  <c r="O63" i="5"/>
  <c r="M63" i="5"/>
  <c r="K63" i="5"/>
  <c r="I63" i="5"/>
  <c r="G63" i="5"/>
  <c r="Q72" i="5" l="1"/>
  <c r="D27" i="5" l="1"/>
  <c r="E108" i="5" l="1"/>
  <c r="F108" i="5"/>
  <c r="G108" i="5"/>
  <c r="H108" i="5"/>
  <c r="I108" i="5"/>
  <c r="J108" i="5"/>
  <c r="K108" i="5"/>
  <c r="L108" i="5"/>
  <c r="M108" i="5"/>
  <c r="N108" i="5"/>
  <c r="O108" i="5"/>
  <c r="D108" i="5"/>
  <c r="K104" i="5"/>
  <c r="J104" i="5"/>
  <c r="G104" i="5"/>
  <c r="F104" i="5"/>
  <c r="P175" i="5" l="1"/>
  <c r="D87" i="5" l="1"/>
  <c r="M87" i="5"/>
  <c r="L87" i="5"/>
  <c r="J87" i="5"/>
  <c r="I87" i="5"/>
  <c r="H87" i="5"/>
  <c r="G87" i="5"/>
  <c r="P86" i="5"/>
  <c r="X78" i="5" l="1"/>
  <c r="Q65" i="5" l="1"/>
  <c r="E65" i="5"/>
  <c r="F65" i="5"/>
  <c r="G65" i="5"/>
  <c r="H65" i="5"/>
  <c r="I65" i="5"/>
  <c r="J65" i="5"/>
  <c r="K65" i="5"/>
  <c r="L65" i="5"/>
  <c r="M65" i="5"/>
  <c r="N65" i="5"/>
  <c r="O65" i="5"/>
  <c r="D65" i="5"/>
  <c r="P176" i="5"/>
  <c r="H134" i="5"/>
  <c r="I134" i="5"/>
  <c r="C11" i="15" l="1"/>
  <c r="E4" i="15" l="1"/>
  <c r="E7" i="15"/>
  <c r="F7" i="15" s="1"/>
  <c r="E5" i="15"/>
  <c r="F5" i="15" s="1"/>
  <c r="E6" i="15"/>
  <c r="F6" i="15" s="1"/>
  <c r="F4" i="15"/>
  <c r="N157" i="5" l="1"/>
  <c r="L157" i="5"/>
  <c r="J157" i="5"/>
  <c r="H157" i="5"/>
  <c r="F157" i="5"/>
  <c r="O157" i="5"/>
  <c r="M157" i="5"/>
  <c r="K157" i="5"/>
  <c r="I157" i="5"/>
  <c r="G157" i="5"/>
  <c r="D157" i="5"/>
  <c r="N154" i="5"/>
  <c r="L154" i="5"/>
  <c r="J154" i="5"/>
  <c r="H154" i="5"/>
  <c r="F154" i="5"/>
  <c r="D154" i="5"/>
  <c r="O154" i="5"/>
  <c r="M154" i="5"/>
  <c r="K154" i="5"/>
  <c r="I154" i="5"/>
  <c r="G154" i="5"/>
  <c r="N156" i="5"/>
  <c r="L156" i="5"/>
  <c r="J156" i="5"/>
  <c r="H156" i="5"/>
  <c r="F156" i="5"/>
  <c r="D156" i="5"/>
  <c r="O156" i="5"/>
  <c r="M156" i="5"/>
  <c r="K156" i="5"/>
  <c r="I156" i="5"/>
  <c r="G156" i="5"/>
  <c r="N155" i="5"/>
  <c r="L155" i="5"/>
  <c r="J155" i="5"/>
  <c r="H155" i="5"/>
  <c r="F155" i="5"/>
  <c r="O155" i="5"/>
  <c r="M155" i="5"/>
  <c r="K155" i="5"/>
  <c r="I155" i="5"/>
  <c r="G155" i="5"/>
  <c r="D155" i="5"/>
  <c r="E8" i="15"/>
  <c r="F8" i="15"/>
  <c r="D158" i="5" l="1"/>
  <c r="E177" i="5"/>
  <c r="F177" i="5"/>
  <c r="G177" i="5"/>
  <c r="H177" i="5"/>
  <c r="I177" i="5"/>
  <c r="J177" i="5"/>
  <c r="K177" i="5"/>
  <c r="L177" i="5"/>
  <c r="M177" i="5"/>
  <c r="N177" i="5"/>
  <c r="O177" i="5"/>
  <c r="D177" i="5"/>
  <c r="P171" i="5"/>
  <c r="P177" i="5" l="1"/>
  <c r="Q68" i="5" l="1"/>
  <c r="Q19" i="5"/>
  <c r="Q20" i="5"/>
  <c r="Q22" i="5"/>
  <c r="Q23" i="5"/>
  <c r="Q24" i="5"/>
  <c r="Q34" i="5"/>
  <c r="Q44" i="5"/>
  <c r="Q45" i="5"/>
  <c r="Q46" i="5"/>
  <c r="Q47" i="5"/>
  <c r="Q49" i="5"/>
  <c r="Q50" i="5"/>
  <c r="Q55" i="5"/>
  <c r="Q57" i="5"/>
  <c r="Q59" i="5"/>
  <c r="Q60" i="5"/>
  <c r="Q61" i="5"/>
  <c r="Q63" i="5"/>
  <c r="Q64" i="5"/>
  <c r="Q66" i="5"/>
  <c r="Q67" i="5"/>
  <c r="Q76" i="5"/>
  <c r="Q80" i="5"/>
  <c r="Q81" i="5"/>
  <c r="Q88" i="5"/>
  <c r="Q92" i="5"/>
  <c r="Q93" i="5"/>
  <c r="Q99" i="5"/>
  <c r="Q101" i="5"/>
  <c r="Q102" i="5"/>
  <c r="Q103" i="5"/>
  <c r="Q105" i="5"/>
  <c r="Q109" i="5"/>
  <c r="Q111" i="5"/>
  <c r="Q112" i="5"/>
  <c r="Q115" i="5"/>
  <c r="Q116" i="5"/>
  <c r="Q118" i="5"/>
  <c r="Q119" i="5"/>
  <c r="Q121" i="5"/>
  <c r="Q122" i="5"/>
  <c r="Q125" i="5"/>
  <c r="Q129" i="5"/>
  <c r="Q131" i="5"/>
  <c r="Q132" i="5"/>
  <c r="Q133" i="5"/>
  <c r="Q136" i="5"/>
  <c r="Q138" i="5"/>
  <c r="Q140" i="5"/>
  <c r="Q141" i="5"/>
  <c r="Q143" i="5"/>
  <c r="Q145" i="5"/>
  <c r="Q146" i="5"/>
  <c r="Q147" i="5"/>
  <c r="Q148" i="5"/>
  <c r="Q149" i="5"/>
  <c r="Q150" i="5"/>
  <c r="Q152" i="5"/>
  <c r="Q153" i="5"/>
  <c r="Q159" i="5"/>
  <c r="Q160" i="5"/>
  <c r="Q162" i="5"/>
  <c r="Q91" i="5" l="1"/>
  <c r="E91" i="5"/>
  <c r="G91" i="5"/>
  <c r="I91" i="5"/>
  <c r="K91" i="5"/>
  <c r="M91" i="5"/>
  <c r="O91" i="5"/>
  <c r="D91" i="5"/>
  <c r="F91" i="5"/>
  <c r="H91" i="5"/>
  <c r="J91" i="5"/>
  <c r="L91" i="5"/>
  <c r="N91" i="5"/>
  <c r="C158" i="5"/>
  <c r="C151" i="5"/>
  <c r="C144" i="5"/>
  <c r="C137" i="5"/>
  <c r="C130" i="5"/>
  <c r="C124" i="5"/>
  <c r="C114" i="5"/>
  <c r="Q94" i="5"/>
  <c r="Q73" i="5"/>
  <c r="Q71" i="5"/>
  <c r="Q69" i="5"/>
  <c r="C54" i="5"/>
  <c r="C10" i="5"/>
  <c r="C139" i="5" l="1"/>
  <c r="C161" i="5" s="1"/>
  <c r="C56" i="5"/>
  <c r="Q54" i="5"/>
  <c r="C21" i="5"/>
  <c r="C48" i="5"/>
  <c r="C58" i="5" l="1"/>
  <c r="O130" i="5"/>
  <c r="N130" i="5"/>
  <c r="M130" i="5"/>
  <c r="L130" i="5"/>
  <c r="K130" i="5"/>
  <c r="J130" i="5"/>
  <c r="I130" i="5"/>
  <c r="H130" i="5"/>
  <c r="G130" i="5"/>
  <c r="F130" i="5"/>
  <c r="D130" i="5"/>
  <c r="P129" i="5"/>
  <c r="P128" i="5"/>
  <c r="Q128" i="5" s="1"/>
  <c r="P154" i="5"/>
  <c r="Q154" i="5" s="1"/>
  <c r="P155" i="5"/>
  <c r="Q155" i="5" s="1"/>
  <c r="P156" i="5"/>
  <c r="Q156" i="5" s="1"/>
  <c r="P157" i="5"/>
  <c r="Q157" i="5" s="1"/>
  <c r="E158" i="5"/>
  <c r="F158" i="5"/>
  <c r="G158" i="5"/>
  <c r="H158" i="5"/>
  <c r="I158" i="5"/>
  <c r="J158" i="5"/>
  <c r="K158" i="5"/>
  <c r="L158" i="5"/>
  <c r="M158" i="5"/>
  <c r="N158" i="5"/>
  <c r="O158" i="5"/>
  <c r="E127" i="5" l="1"/>
  <c r="E130" i="5" s="1"/>
  <c r="P143" i="5"/>
  <c r="P158" i="5"/>
  <c r="Q158" i="5" s="1"/>
  <c r="P127" i="5" l="1"/>
  <c r="Q127" i="5" s="1"/>
  <c r="Q113" i="5"/>
  <c r="P130" i="5" l="1"/>
  <c r="Q130" i="5" s="1"/>
  <c r="Q108" i="5" l="1"/>
  <c r="E105" i="5"/>
  <c r="F105" i="5"/>
  <c r="G105" i="5"/>
  <c r="H105" i="5"/>
  <c r="I105" i="5"/>
  <c r="J105" i="5"/>
  <c r="K105" i="5"/>
  <c r="L105" i="5"/>
  <c r="M105" i="5"/>
  <c r="N105" i="5"/>
  <c r="O105" i="5"/>
  <c r="D105" i="5"/>
  <c r="Q104" i="5"/>
  <c r="L88" i="5"/>
  <c r="F88" i="5"/>
  <c r="F92" i="5" l="1"/>
  <c r="G92" i="5"/>
  <c r="H92" i="5"/>
  <c r="I92" i="5"/>
  <c r="J92" i="5"/>
  <c r="K92" i="5"/>
  <c r="L92" i="5"/>
  <c r="M92" i="5"/>
  <c r="N92" i="5"/>
  <c r="O92" i="5"/>
  <c r="F93" i="5"/>
  <c r="G93" i="5"/>
  <c r="H93" i="5"/>
  <c r="I93" i="5"/>
  <c r="J93" i="5"/>
  <c r="K93" i="5"/>
  <c r="L93" i="5"/>
  <c r="M93" i="5"/>
  <c r="N93" i="5"/>
  <c r="O93" i="5"/>
  <c r="F94" i="5"/>
  <c r="G94" i="5"/>
  <c r="H94" i="5"/>
  <c r="I94" i="5"/>
  <c r="J94" i="5"/>
  <c r="K94" i="5"/>
  <c r="L94" i="5"/>
  <c r="M94" i="5"/>
  <c r="N94" i="5"/>
  <c r="O94" i="5"/>
  <c r="G82" i="5"/>
  <c r="H82" i="5"/>
  <c r="I82" i="5"/>
  <c r="J82" i="5"/>
  <c r="K82" i="5"/>
  <c r="L82" i="5"/>
  <c r="M82" i="5"/>
  <c r="N82" i="5"/>
  <c r="O82" i="5"/>
  <c r="C82" i="5" s="1"/>
  <c r="Q82" i="5" s="1"/>
  <c r="F82" i="5"/>
  <c r="E92" i="5"/>
  <c r="E93" i="5"/>
  <c r="E94" i="5"/>
  <c r="E82" i="5"/>
  <c r="D92" i="5"/>
  <c r="D93" i="5"/>
  <c r="D94" i="5"/>
  <c r="D82" i="5"/>
  <c r="Q86" i="5" l="1"/>
  <c r="Q77" i="5"/>
  <c r="Q74" i="5" l="1"/>
  <c r="P53" i="5" l="1"/>
  <c r="Q53" i="5" s="1"/>
  <c r="P52" i="5"/>
  <c r="Q52" i="5" s="1"/>
  <c r="P51" i="5"/>
  <c r="Q51" i="5" s="1"/>
  <c r="D37" i="5" l="1"/>
  <c r="E37" i="5"/>
  <c r="F37" i="5"/>
  <c r="G37" i="5"/>
  <c r="H37" i="5"/>
  <c r="I37" i="5"/>
  <c r="J37" i="5"/>
  <c r="K37" i="5"/>
  <c r="L37" i="5"/>
  <c r="M37" i="5"/>
  <c r="N37" i="5"/>
  <c r="O37" i="5"/>
  <c r="D38" i="5"/>
  <c r="E38" i="5"/>
  <c r="F38" i="5"/>
  <c r="G38" i="5"/>
  <c r="H38" i="5"/>
  <c r="I38" i="5"/>
  <c r="J38" i="5"/>
  <c r="K38" i="5"/>
  <c r="L38" i="5"/>
  <c r="M38" i="5"/>
  <c r="N38" i="5"/>
  <c r="O38" i="5"/>
  <c r="D39" i="5"/>
  <c r="E39" i="5"/>
  <c r="F39" i="5"/>
  <c r="G39" i="5"/>
  <c r="H39" i="5"/>
  <c r="I39" i="5"/>
  <c r="J39" i="5"/>
  <c r="K39" i="5"/>
  <c r="L39" i="5"/>
  <c r="M39" i="5"/>
  <c r="N39" i="5"/>
  <c r="O39" i="5"/>
  <c r="D40" i="5"/>
  <c r="E40" i="5"/>
  <c r="F40" i="5"/>
  <c r="G40" i="5"/>
  <c r="H40" i="5"/>
  <c r="I40" i="5"/>
  <c r="J40" i="5"/>
  <c r="K40" i="5"/>
  <c r="L40" i="5"/>
  <c r="M40" i="5"/>
  <c r="N40" i="5"/>
  <c r="O40" i="5"/>
  <c r="D41" i="5"/>
  <c r="E41" i="5"/>
  <c r="F41" i="5"/>
  <c r="G41" i="5"/>
  <c r="H41" i="5"/>
  <c r="I41" i="5"/>
  <c r="J41" i="5"/>
  <c r="K41" i="5"/>
  <c r="L41" i="5"/>
  <c r="M41" i="5"/>
  <c r="N41" i="5"/>
  <c r="O41" i="5"/>
  <c r="D42" i="5"/>
  <c r="E42" i="5"/>
  <c r="F42" i="5"/>
  <c r="G42" i="5"/>
  <c r="H42" i="5"/>
  <c r="I42" i="5"/>
  <c r="J42" i="5"/>
  <c r="K42" i="5"/>
  <c r="L42" i="5"/>
  <c r="M42" i="5"/>
  <c r="N42" i="5"/>
  <c r="O42" i="5"/>
  <c r="D43" i="5"/>
  <c r="E43" i="5"/>
  <c r="F43" i="5"/>
  <c r="G43" i="5"/>
  <c r="H43" i="5"/>
  <c r="I43" i="5"/>
  <c r="J43" i="5"/>
  <c r="K43" i="5"/>
  <c r="L43" i="5"/>
  <c r="M43" i="5"/>
  <c r="N43" i="5"/>
  <c r="O43" i="5"/>
  <c r="O36" i="5"/>
  <c r="N36" i="5"/>
  <c r="M36" i="5"/>
  <c r="L36" i="5"/>
  <c r="K36" i="5"/>
  <c r="J36" i="5"/>
  <c r="I36" i="5"/>
  <c r="H36" i="5"/>
  <c r="G36" i="5"/>
  <c r="F36" i="5"/>
  <c r="E36" i="5"/>
  <c r="D36" i="5"/>
  <c r="D28" i="5"/>
  <c r="E28" i="5"/>
  <c r="F28" i="5"/>
  <c r="G28" i="5"/>
  <c r="H28" i="5"/>
  <c r="I28" i="5"/>
  <c r="J28" i="5"/>
  <c r="K28" i="5"/>
  <c r="L28" i="5"/>
  <c r="M28" i="5"/>
  <c r="N28" i="5"/>
  <c r="O28" i="5"/>
  <c r="D30" i="5"/>
  <c r="E30" i="5"/>
  <c r="F30" i="5"/>
  <c r="G30" i="5"/>
  <c r="H30" i="5"/>
  <c r="I30" i="5"/>
  <c r="J30" i="5"/>
  <c r="K30" i="5"/>
  <c r="L30" i="5"/>
  <c r="M30" i="5"/>
  <c r="N30" i="5"/>
  <c r="O30" i="5"/>
  <c r="D31" i="5"/>
  <c r="E31" i="5"/>
  <c r="F31" i="5"/>
  <c r="G31" i="5"/>
  <c r="H31" i="5"/>
  <c r="I31" i="5"/>
  <c r="J31" i="5"/>
  <c r="K31" i="5"/>
  <c r="L31" i="5"/>
  <c r="M31" i="5"/>
  <c r="N31" i="5"/>
  <c r="O31" i="5"/>
  <c r="D32" i="5"/>
  <c r="E32" i="5"/>
  <c r="F32" i="5"/>
  <c r="G32" i="5"/>
  <c r="H32" i="5"/>
  <c r="I32" i="5"/>
  <c r="J32" i="5"/>
  <c r="K32" i="5"/>
  <c r="L32" i="5"/>
  <c r="M32" i="5"/>
  <c r="N32" i="5"/>
  <c r="O32" i="5"/>
  <c r="D33" i="5"/>
  <c r="E33" i="5"/>
  <c r="F33" i="5"/>
  <c r="G33" i="5"/>
  <c r="H33" i="5"/>
  <c r="I33" i="5"/>
  <c r="J33" i="5"/>
  <c r="K33" i="5"/>
  <c r="L33" i="5"/>
  <c r="M33" i="5"/>
  <c r="N33" i="5"/>
  <c r="O33" i="5"/>
  <c r="E27" i="5"/>
  <c r="F27" i="5"/>
  <c r="G27" i="5"/>
  <c r="H27" i="5"/>
  <c r="I27" i="5"/>
  <c r="J27" i="5"/>
  <c r="K27" i="5"/>
  <c r="L27" i="5"/>
  <c r="M27" i="5"/>
  <c r="N27" i="5"/>
  <c r="O27" i="5"/>
  <c r="D26" i="5"/>
  <c r="E26" i="5"/>
  <c r="F26" i="5"/>
  <c r="G26" i="5"/>
  <c r="H26" i="5"/>
  <c r="I26" i="5"/>
  <c r="J26" i="5"/>
  <c r="K26" i="5"/>
  <c r="L26" i="5"/>
  <c r="M26" i="5"/>
  <c r="N26" i="5"/>
  <c r="O26" i="5"/>
  <c r="P22" i="12"/>
  <c r="O22" i="12"/>
  <c r="N22" i="12"/>
  <c r="M22" i="12"/>
  <c r="L22" i="12"/>
  <c r="K22" i="12"/>
  <c r="J22" i="12"/>
  <c r="I22" i="12"/>
  <c r="H22" i="12"/>
  <c r="G22" i="12"/>
  <c r="F22" i="12"/>
  <c r="E22" i="12"/>
  <c r="Q22" i="12" s="1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C7" i="12"/>
  <c r="C21" i="12" s="1"/>
  <c r="Q6" i="12"/>
  <c r="P22" i="11"/>
  <c r="O22" i="11"/>
  <c r="N22" i="11"/>
  <c r="M22" i="11"/>
  <c r="L22" i="11"/>
  <c r="K22" i="11"/>
  <c r="J22" i="11"/>
  <c r="I22" i="11"/>
  <c r="H22" i="11"/>
  <c r="G22" i="11"/>
  <c r="F22" i="11"/>
  <c r="E22" i="11"/>
  <c r="C21" i="11"/>
  <c r="Q22" i="11" l="1"/>
  <c r="P42" i="5"/>
  <c r="Q42" i="5" s="1"/>
  <c r="P40" i="5"/>
  <c r="Q40" i="5" s="1"/>
  <c r="P38" i="5"/>
  <c r="Q38" i="5" s="1"/>
  <c r="P43" i="5"/>
  <c r="Q43" i="5" s="1"/>
  <c r="P41" i="5"/>
  <c r="Q41" i="5" s="1"/>
  <c r="P39" i="5"/>
  <c r="Q39" i="5" s="1"/>
  <c r="P37" i="5"/>
  <c r="Q37" i="5" s="1"/>
  <c r="P27" i="5"/>
  <c r="Q27" i="5" s="1"/>
  <c r="P26" i="5"/>
  <c r="Q26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G13" i="5" l="1"/>
  <c r="H13" i="5"/>
  <c r="I13" i="5"/>
  <c r="J13" i="5"/>
  <c r="K13" i="5"/>
  <c r="L13" i="5"/>
  <c r="M13" i="5"/>
  <c r="N13" i="5"/>
  <c r="O13" i="5"/>
  <c r="G15" i="5"/>
  <c r="H15" i="5"/>
  <c r="I15" i="5"/>
  <c r="J15" i="5"/>
  <c r="K15" i="5"/>
  <c r="L15" i="5"/>
  <c r="M15" i="5"/>
  <c r="N15" i="5"/>
  <c r="O15" i="5"/>
  <c r="G16" i="5"/>
  <c r="H16" i="5"/>
  <c r="I16" i="5"/>
  <c r="J16" i="5"/>
  <c r="K16" i="5"/>
  <c r="L16" i="5"/>
  <c r="M16" i="5"/>
  <c r="N16" i="5"/>
  <c r="O16" i="5"/>
  <c r="G17" i="5"/>
  <c r="H17" i="5"/>
  <c r="I17" i="5"/>
  <c r="J17" i="5"/>
  <c r="K17" i="5"/>
  <c r="L17" i="5"/>
  <c r="M17" i="5"/>
  <c r="N17" i="5"/>
  <c r="O17" i="5"/>
  <c r="G18" i="5"/>
  <c r="H18" i="5"/>
  <c r="I18" i="5"/>
  <c r="J18" i="5"/>
  <c r="K18" i="5"/>
  <c r="L18" i="5"/>
  <c r="M18" i="5"/>
  <c r="N18" i="5"/>
  <c r="O18" i="5"/>
  <c r="F13" i="5"/>
  <c r="F15" i="5"/>
  <c r="F16" i="5"/>
  <c r="F17" i="5"/>
  <c r="F18" i="5"/>
  <c r="E16" i="5"/>
  <c r="E17" i="5"/>
  <c r="E18" i="5"/>
  <c r="E13" i="5"/>
  <c r="E15" i="5"/>
  <c r="D15" i="5"/>
  <c r="D16" i="5"/>
  <c r="D17" i="5"/>
  <c r="D18" i="5"/>
  <c r="D13" i="5"/>
  <c r="D11" i="5"/>
  <c r="D12" i="5"/>
  <c r="E12" i="5"/>
  <c r="F12" i="5"/>
  <c r="G12" i="5"/>
  <c r="H12" i="5"/>
  <c r="I12" i="5"/>
  <c r="J12" i="5"/>
  <c r="K12" i="5"/>
  <c r="L12" i="5"/>
  <c r="M12" i="5"/>
  <c r="N12" i="5"/>
  <c r="O12" i="5"/>
  <c r="O11" i="5"/>
  <c r="N11" i="5"/>
  <c r="M11" i="5"/>
  <c r="L11" i="5"/>
  <c r="K11" i="5"/>
  <c r="J11" i="5"/>
  <c r="I11" i="5"/>
  <c r="H11" i="5"/>
  <c r="G11" i="5"/>
  <c r="F11" i="5"/>
  <c r="E11" i="5"/>
  <c r="F10" i="5" l="1"/>
  <c r="H10" i="5"/>
  <c r="J10" i="5"/>
  <c r="L10" i="5"/>
  <c r="N10" i="5"/>
  <c r="D10" i="5"/>
  <c r="E10" i="5"/>
  <c r="G10" i="5"/>
  <c r="I10" i="5"/>
  <c r="K10" i="5"/>
  <c r="M10" i="5"/>
  <c r="O10" i="5"/>
  <c r="P13" i="5"/>
  <c r="Q13" i="5" s="1"/>
  <c r="P12" i="5"/>
  <c r="Q12" i="5" s="1"/>
  <c r="P17" i="5"/>
  <c r="Q17" i="5" s="1"/>
  <c r="P15" i="5"/>
  <c r="Q15" i="5" s="1"/>
  <c r="P18" i="5"/>
  <c r="Q18" i="5" s="1"/>
  <c r="P16" i="5"/>
  <c r="Q16" i="5" s="1"/>
  <c r="P14" i="5"/>
  <c r="Q14" i="5" s="1"/>
  <c r="P11" i="5"/>
  <c r="Q11" i="5" s="1"/>
  <c r="P10" i="5" l="1"/>
  <c r="Q10" i="5" s="1"/>
  <c r="Q20" i="9" l="1"/>
  <c r="Q21" i="9"/>
  <c r="Q22" i="9"/>
  <c r="Q23" i="9"/>
  <c r="Q24" i="9"/>
  <c r="Q25" i="9"/>
  <c r="Q26" i="9"/>
  <c r="Q27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C32" i="9"/>
  <c r="Q32" i="9" l="1"/>
  <c r="Q33" i="9"/>
  <c r="E25" i="5" l="1"/>
  <c r="F25" i="5"/>
  <c r="G25" i="5"/>
  <c r="H25" i="5"/>
  <c r="I25" i="5"/>
  <c r="J25" i="5"/>
  <c r="K25" i="5"/>
  <c r="L25" i="5"/>
  <c r="M25" i="5"/>
  <c r="N25" i="5"/>
  <c r="O25" i="5"/>
  <c r="D25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D137" i="5" l="1"/>
  <c r="E137" i="5"/>
  <c r="F137" i="5"/>
  <c r="G137" i="5"/>
  <c r="H137" i="5"/>
  <c r="I137" i="5"/>
  <c r="J137" i="5"/>
  <c r="K137" i="5"/>
  <c r="L137" i="5"/>
  <c r="M137" i="5"/>
  <c r="N137" i="5"/>
  <c r="O137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35" i="5"/>
  <c r="Q135" i="5" s="1"/>
  <c r="Q134" i="5"/>
  <c r="P142" i="5"/>
  <c r="Q142" i="5" s="1"/>
  <c r="E114" i="5"/>
  <c r="F114" i="5"/>
  <c r="G114" i="5"/>
  <c r="H114" i="5"/>
  <c r="I114" i="5"/>
  <c r="J114" i="5"/>
  <c r="K114" i="5"/>
  <c r="L114" i="5"/>
  <c r="M114" i="5"/>
  <c r="N114" i="5"/>
  <c r="O114" i="5"/>
  <c r="P123" i="5"/>
  <c r="P124" i="5" l="1"/>
  <c r="Q124" i="5" s="1"/>
  <c r="Q123" i="5"/>
  <c r="P22" i="10"/>
  <c r="O22" i="10"/>
  <c r="N22" i="10"/>
  <c r="M22" i="10"/>
  <c r="L22" i="10"/>
  <c r="K22" i="10"/>
  <c r="J22" i="10"/>
  <c r="H22" i="10"/>
  <c r="G22" i="10"/>
  <c r="F22" i="10"/>
  <c r="E22" i="10"/>
  <c r="Q13" i="10"/>
  <c r="I22" i="10"/>
  <c r="Q12" i="10"/>
  <c r="Q11" i="10"/>
  <c r="Q10" i="10"/>
  <c r="Q9" i="10"/>
  <c r="Q8" i="10"/>
  <c r="Q7" i="10"/>
  <c r="Q6" i="10"/>
  <c r="E90" i="8"/>
  <c r="E91" i="8" s="1"/>
  <c r="E92" i="8" s="1"/>
  <c r="B80" i="8"/>
  <c r="E71" i="8"/>
  <c r="E72" i="8" s="1"/>
  <c r="E73" i="8" s="1"/>
  <c r="B61" i="8"/>
  <c r="B49" i="8"/>
  <c r="B51" i="8" s="1"/>
  <c r="B33" i="8"/>
  <c r="B25" i="8"/>
  <c r="B24" i="8"/>
  <c r="B26" i="8" s="1"/>
  <c r="B28" i="8" s="1"/>
  <c r="S14" i="8"/>
  <c r="R14" i="8"/>
  <c r="Q14" i="8"/>
  <c r="N14" i="8"/>
  <c r="M14" i="8"/>
  <c r="L14" i="8"/>
  <c r="K14" i="8"/>
  <c r="D12" i="8"/>
  <c r="D11" i="8"/>
  <c r="D10" i="8"/>
  <c r="W9" i="8"/>
  <c r="D9" i="8"/>
  <c r="W8" i="8"/>
  <c r="D8" i="8"/>
  <c r="W7" i="8"/>
  <c r="D6" i="8"/>
  <c r="D5" i="8"/>
  <c r="D4" i="8"/>
  <c r="D3" i="8"/>
  <c r="D2" i="8"/>
  <c r="D14" i="8" s="1"/>
  <c r="D15" i="8" s="1"/>
  <c r="P31" i="7"/>
  <c r="P30" i="7"/>
  <c r="P29" i="7"/>
  <c r="P21" i="7"/>
  <c r="P20" i="7"/>
  <c r="B17" i="7"/>
  <c r="H14" i="7" s="1"/>
  <c r="B11" i="7"/>
  <c r="P9" i="7"/>
  <c r="G3" i="7"/>
  <c r="J3" i="7" s="1"/>
  <c r="L3" i="7" s="1"/>
  <c r="F88" i="4"/>
  <c r="F87" i="4"/>
  <c r="F86" i="4"/>
  <c r="P136" i="5"/>
  <c r="F78" i="4" s="1"/>
  <c r="F74" i="4"/>
  <c r="P114" i="5"/>
  <c r="Q114" i="5" s="1"/>
  <c r="F54" i="4"/>
  <c r="F51" i="4"/>
  <c r="Q97" i="5"/>
  <c r="Q96" i="5"/>
  <c r="P95" i="5"/>
  <c r="C95" i="5" s="1"/>
  <c r="Q95" i="5" s="1"/>
  <c r="F43" i="4"/>
  <c r="P90" i="5"/>
  <c r="C90" i="5" s="1"/>
  <c r="Q90" i="5" s="1"/>
  <c r="P89" i="5"/>
  <c r="C89" i="5" s="1"/>
  <c r="Q89" i="5" s="1"/>
  <c r="P85" i="5"/>
  <c r="C85" i="5" s="1"/>
  <c r="Q85" i="5" s="1"/>
  <c r="P84" i="5"/>
  <c r="C84" i="5" s="1"/>
  <c r="Q84" i="5" s="1"/>
  <c r="P83" i="5"/>
  <c r="C83" i="5" s="1"/>
  <c r="Q83" i="5" s="1"/>
  <c r="G80" i="6"/>
  <c r="F80" i="6"/>
  <c r="E80" i="6"/>
  <c r="P78" i="6"/>
  <c r="O78" i="6"/>
  <c r="N78" i="6"/>
  <c r="M78" i="6"/>
  <c r="L78" i="6"/>
  <c r="K78" i="6"/>
  <c r="J78" i="6"/>
  <c r="I78" i="6"/>
  <c r="H78" i="6"/>
  <c r="G78" i="6"/>
  <c r="F78" i="6"/>
  <c r="E78" i="6"/>
  <c r="Q78" i="6" s="1"/>
  <c r="P75" i="6"/>
  <c r="O75" i="6"/>
  <c r="N75" i="6"/>
  <c r="M75" i="6"/>
  <c r="L75" i="6"/>
  <c r="K75" i="6"/>
  <c r="J75" i="6"/>
  <c r="I75" i="6"/>
  <c r="H75" i="6"/>
  <c r="G75" i="6"/>
  <c r="F75" i="6"/>
  <c r="E75" i="6"/>
  <c r="J73" i="6"/>
  <c r="I73" i="6"/>
  <c r="H73" i="6"/>
  <c r="I71" i="6"/>
  <c r="Q71" i="6" s="1"/>
  <c r="P69" i="6"/>
  <c r="O69" i="6"/>
  <c r="N69" i="6"/>
  <c r="M69" i="6"/>
  <c r="L69" i="6"/>
  <c r="K69" i="6"/>
  <c r="J69" i="6"/>
  <c r="I69" i="6"/>
  <c r="H69" i="6"/>
  <c r="G69" i="6"/>
  <c r="F69" i="6"/>
  <c r="E69" i="6"/>
  <c r="P65" i="6"/>
  <c r="O65" i="6"/>
  <c r="N65" i="6"/>
  <c r="M65" i="6"/>
  <c r="L65" i="6"/>
  <c r="K65" i="6"/>
  <c r="J65" i="6"/>
  <c r="I65" i="6"/>
  <c r="H65" i="6"/>
  <c r="G65" i="6"/>
  <c r="F65" i="6"/>
  <c r="E65" i="6"/>
  <c r="P64" i="6"/>
  <c r="O64" i="6"/>
  <c r="N64" i="6"/>
  <c r="M64" i="6"/>
  <c r="L64" i="6"/>
  <c r="K64" i="6"/>
  <c r="J64" i="6"/>
  <c r="I64" i="6"/>
  <c r="H64" i="6"/>
  <c r="P60" i="6"/>
  <c r="O60" i="6"/>
  <c r="N60" i="6"/>
  <c r="M60" i="6"/>
  <c r="L60" i="6"/>
  <c r="K60" i="6"/>
  <c r="J60" i="6"/>
  <c r="I60" i="6"/>
  <c r="H60" i="6"/>
  <c r="G60" i="6"/>
  <c r="F60" i="6"/>
  <c r="E60" i="6"/>
  <c r="R58" i="6"/>
  <c r="R54" i="6"/>
  <c r="Q54" i="6"/>
  <c r="D54" i="6"/>
  <c r="R53" i="6"/>
  <c r="P53" i="6"/>
  <c r="O53" i="6"/>
  <c r="N53" i="6"/>
  <c r="M53" i="6"/>
  <c r="L53" i="6"/>
  <c r="K53" i="6"/>
  <c r="J53" i="6"/>
  <c r="I53" i="6"/>
  <c r="H53" i="6"/>
  <c r="G53" i="6"/>
  <c r="F53" i="6"/>
  <c r="E53" i="6"/>
  <c r="Q53" i="6" s="1"/>
  <c r="R52" i="6"/>
  <c r="Q52" i="6"/>
  <c r="D52" i="6"/>
  <c r="R51" i="6"/>
  <c r="P51" i="6"/>
  <c r="O51" i="6"/>
  <c r="N51" i="6"/>
  <c r="M51" i="6"/>
  <c r="L51" i="6"/>
  <c r="K51" i="6"/>
  <c r="J51" i="6"/>
  <c r="I51" i="6"/>
  <c r="H51" i="6"/>
  <c r="G51" i="6"/>
  <c r="F51" i="6"/>
  <c r="E51" i="6"/>
  <c r="Q51" i="6" s="1"/>
  <c r="R50" i="6"/>
  <c r="Q50" i="6"/>
  <c r="D50" i="6"/>
  <c r="R49" i="6"/>
  <c r="P49" i="6"/>
  <c r="O49" i="6"/>
  <c r="N49" i="6"/>
  <c r="M49" i="6"/>
  <c r="L49" i="6"/>
  <c r="K49" i="6"/>
  <c r="J49" i="6"/>
  <c r="I49" i="6"/>
  <c r="H49" i="6"/>
  <c r="G49" i="6"/>
  <c r="F49" i="6"/>
  <c r="E49" i="6"/>
  <c r="R48" i="6"/>
  <c r="Q48" i="6"/>
  <c r="D48" i="6"/>
  <c r="R47" i="6"/>
  <c r="P47" i="6"/>
  <c r="O47" i="6"/>
  <c r="N47" i="6"/>
  <c r="M47" i="6"/>
  <c r="L47" i="6"/>
  <c r="K47" i="6"/>
  <c r="J47" i="6"/>
  <c r="I47" i="6"/>
  <c r="H47" i="6"/>
  <c r="G47" i="6"/>
  <c r="F47" i="6"/>
  <c r="E47" i="6"/>
  <c r="R46" i="6"/>
  <c r="Q46" i="6"/>
  <c r="D46" i="6"/>
  <c r="R45" i="6"/>
  <c r="Q45" i="6"/>
  <c r="D45" i="6"/>
  <c r="R44" i="6"/>
  <c r="P44" i="6"/>
  <c r="O44" i="6"/>
  <c r="N44" i="6"/>
  <c r="M44" i="6"/>
  <c r="L44" i="6"/>
  <c r="K44" i="6"/>
  <c r="J44" i="6"/>
  <c r="I44" i="6"/>
  <c r="H44" i="6"/>
  <c r="G44" i="6"/>
  <c r="F44" i="6"/>
  <c r="E44" i="6"/>
  <c r="Q44" i="6" s="1"/>
  <c r="R43" i="6"/>
  <c r="Q43" i="6"/>
  <c r="R42" i="6"/>
  <c r="Q42" i="6"/>
  <c r="D42" i="6"/>
  <c r="R41" i="6"/>
  <c r="Q41" i="6"/>
  <c r="D41" i="6"/>
  <c r="R40" i="6"/>
  <c r="P40" i="6"/>
  <c r="O40" i="6"/>
  <c r="N40" i="6"/>
  <c r="M40" i="6"/>
  <c r="L40" i="6"/>
  <c r="K40" i="6"/>
  <c r="J40" i="6"/>
  <c r="I40" i="6"/>
  <c r="H40" i="6"/>
  <c r="G40" i="6"/>
  <c r="F40" i="6"/>
  <c r="E40" i="6"/>
  <c r="R39" i="6"/>
  <c r="Q39" i="6"/>
  <c r="D39" i="6"/>
  <c r="R38" i="6"/>
  <c r="Q38" i="6"/>
  <c r="D38" i="6"/>
  <c r="R37" i="6"/>
  <c r="Q37" i="6"/>
  <c r="D37" i="6"/>
  <c r="R36" i="6"/>
  <c r="Q36" i="6"/>
  <c r="R35" i="6"/>
  <c r="Q35" i="6"/>
  <c r="R34" i="6"/>
  <c r="Q34" i="6"/>
  <c r="R33" i="6"/>
  <c r="Q33" i="6"/>
  <c r="D33" i="6"/>
  <c r="R32" i="6"/>
  <c r="Q32" i="6"/>
  <c r="D32" i="6"/>
  <c r="R31" i="6"/>
  <c r="P31" i="6"/>
  <c r="O31" i="6"/>
  <c r="N31" i="6"/>
  <c r="M31" i="6"/>
  <c r="L31" i="6"/>
  <c r="K31" i="6"/>
  <c r="J31" i="6"/>
  <c r="I31" i="6"/>
  <c r="H31" i="6"/>
  <c r="G31" i="6"/>
  <c r="F31" i="6"/>
  <c r="E31" i="6"/>
  <c r="R30" i="6"/>
  <c r="Q30" i="6"/>
  <c r="D30" i="6"/>
  <c r="R29" i="6"/>
  <c r="R28" i="6"/>
  <c r="P28" i="6"/>
  <c r="O28" i="6"/>
  <c r="M28" i="6"/>
  <c r="L28" i="6"/>
  <c r="J28" i="6"/>
  <c r="I28" i="6"/>
  <c r="G28" i="6"/>
  <c r="F28" i="6"/>
  <c r="R27" i="6"/>
  <c r="Q27" i="6"/>
  <c r="R26" i="6"/>
  <c r="Q26" i="6"/>
  <c r="R25" i="6"/>
  <c r="Q25" i="6"/>
  <c r="R24" i="6"/>
  <c r="Q24" i="6"/>
  <c r="R23" i="6"/>
  <c r="Q23" i="6"/>
  <c r="R22" i="6"/>
  <c r="Q22" i="6"/>
  <c r="R21" i="6"/>
  <c r="Q21" i="6"/>
  <c r="R20" i="6"/>
  <c r="P20" i="6"/>
  <c r="O20" i="6"/>
  <c r="N20" i="6"/>
  <c r="M20" i="6"/>
  <c r="L20" i="6"/>
  <c r="K20" i="6"/>
  <c r="J20" i="6"/>
  <c r="I20" i="6"/>
  <c r="H20" i="6"/>
  <c r="G20" i="6"/>
  <c r="F20" i="6"/>
  <c r="E20" i="6"/>
  <c r="R19" i="6"/>
  <c r="E19" i="6"/>
  <c r="Q19" i="6" s="1"/>
  <c r="R18" i="6"/>
  <c r="E18" i="6"/>
  <c r="Q18" i="6" s="1"/>
  <c r="R17" i="6"/>
  <c r="H17" i="6"/>
  <c r="G17" i="6"/>
  <c r="F17" i="6"/>
  <c r="E17" i="6"/>
  <c r="Q17" i="6" s="1"/>
  <c r="R16" i="6"/>
  <c r="P16" i="6"/>
  <c r="O16" i="6"/>
  <c r="N16" i="6"/>
  <c r="M16" i="6"/>
  <c r="L16" i="6"/>
  <c r="K16" i="6"/>
  <c r="J16" i="6"/>
  <c r="I16" i="6"/>
  <c r="H16" i="6"/>
  <c r="G16" i="6"/>
  <c r="F16" i="6"/>
  <c r="E16" i="6"/>
  <c r="R15" i="6"/>
  <c r="G15" i="6"/>
  <c r="F15" i="6"/>
  <c r="E15" i="6"/>
  <c r="Q12" i="6"/>
  <c r="Q8" i="6"/>
  <c r="P7" i="6"/>
  <c r="O7" i="6"/>
  <c r="N7" i="6"/>
  <c r="M7" i="6"/>
  <c r="L7" i="6"/>
  <c r="K7" i="6"/>
  <c r="J7" i="6"/>
  <c r="I7" i="6"/>
  <c r="H7" i="6"/>
  <c r="G7" i="6"/>
  <c r="F7" i="6"/>
  <c r="E7" i="6"/>
  <c r="P6" i="6"/>
  <c r="O6" i="6"/>
  <c r="N6" i="6"/>
  <c r="M6" i="6"/>
  <c r="L6" i="6"/>
  <c r="K6" i="6"/>
  <c r="J6" i="6"/>
  <c r="I6" i="6"/>
  <c r="H6" i="6"/>
  <c r="G6" i="6"/>
  <c r="F6" i="6"/>
  <c r="E6" i="6"/>
  <c r="P5" i="6"/>
  <c r="O5" i="6"/>
  <c r="N5" i="6"/>
  <c r="M5" i="6"/>
  <c r="L5" i="6"/>
  <c r="K5" i="6"/>
  <c r="J5" i="6"/>
  <c r="I5" i="6"/>
  <c r="H5" i="6"/>
  <c r="G5" i="6"/>
  <c r="F5" i="6"/>
  <c r="E5" i="6"/>
  <c r="P4" i="6"/>
  <c r="O4" i="6"/>
  <c r="N4" i="6"/>
  <c r="M4" i="6"/>
  <c r="L4" i="6"/>
  <c r="K4" i="6"/>
  <c r="J4" i="6"/>
  <c r="I4" i="6"/>
  <c r="H4" i="6"/>
  <c r="G4" i="6"/>
  <c r="F4" i="6"/>
  <c r="E4" i="6"/>
  <c r="F19" i="4"/>
  <c r="F20" i="4"/>
  <c r="F21" i="4"/>
  <c r="F22" i="4"/>
  <c r="B21" i="4"/>
  <c r="B20" i="4"/>
  <c r="B19" i="4"/>
  <c r="B15" i="4"/>
  <c r="F15" i="4"/>
  <c r="F11" i="4"/>
  <c r="R56" i="6" l="1"/>
  <c r="Q20" i="6"/>
  <c r="Q31" i="6"/>
  <c r="Q49" i="6"/>
  <c r="F52" i="4" s="1"/>
  <c r="Q64" i="6"/>
  <c r="Q65" i="6"/>
  <c r="Q75" i="6"/>
  <c r="C100" i="5"/>
  <c r="F84" i="5"/>
  <c r="H84" i="5"/>
  <c r="J84" i="5"/>
  <c r="L84" i="5"/>
  <c r="N84" i="5"/>
  <c r="D84" i="5"/>
  <c r="G84" i="5"/>
  <c r="I84" i="5"/>
  <c r="K84" i="5"/>
  <c r="M84" i="5"/>
  <c r="O84" i="5"/>
  <c r="E84" i="5"/>
  <c r="F41" i="4"/>
  <c r="F89" i="5"/>
  <c r="H89" i="5"/>
  <c r="J89" i="5"/>
  <c r="L89" i="5"/>
  <c r="N89" i="5"/>
  <c r="D89" i="5"/>
  <c r="G89" i="5"/>
  <c r="I89" i="5"/>
  <c r="K89" i="5"/>
  <c r="M89" i="5"/>
  <c r="O89" i="5"/>
  <c r="E89" i="5"/>
  <c r="F45" i="4"/>
  <c r="F96" i="5"/>
  <c r="H96" i="5"/>
  <c r="J96" i="5"/>
  <c r="L96" i="5"/>
  <c r="N96" i="5"/>
  <c r="D96" i="5"/>
  <c r="G96" i="5"/>
  <c r="I96" i="5"/>
  <c r="K96" i="5"/>
  <c r="O96" i="5"/>
  <c r="M96" i="5"/>
  <c r="E96" i="5"/>
  <c r="F83" i="5"/>
  <c r="H83" i="5"/>
  <c r="J83" i="5"/>
  <c r="L83" i="5"/>
  <c r="N83" i="5"/>
  <c r="E83" i="5"/>
  <c r="D83" i="5"/>
  <c r="G83" i="5"/>
  <c r="I83" i="5"/>
  <c r="K83" i="5"/>
  <c r="M83" i="5"/>
  <c r="O83" i="5"/>
  <c r="F85" i="5"/>
  <c r="H85" i="5"/>
  <c r="J85" i="5"/>
  <c r="L85" i="5"/>
  <c r="N85" i="5"/>
  <c r="E85" i="5"/>
  <c r="G85" i="5"/>
  <c r="I85" i="5"/>
  <c r="K85" i="5"/>
  <c r="M85" i="5"/>
  <c r="O85" i="5"/>
  <c r="D85" i="5"/>
  <c r="F90" i="5"/>
  <c r="H90" i="5"/>
  <c r="J90" i="5"/>
  <c r="L90" i="5"/>
  <c r="N90" i="5"/>
  <c r="E90" i="5"/>
  <c r="G90" i="5"/>
  <c r="I90" i="5"/>
  <c r="K90" i="5"/>
  <c r="M90" i="5"/>
  <c r="O90" i="5"/>
  <c r="D90" i="5"/>
  <c r="F44" i="4"/>
  <c r="F95" i="5"/>
  <c r="H95" i="5"/>
  <c r="J95" i="5"/>
  <c r="L95" i="5"/>
  <c r="N95" i="5"/>
  <c r="E95" i="5"/>
  <c r="G95" i="5"/>
  <c r="I95" i="5"/>
  <c r="K95" i="5"/>
  <c r="M95" i="5"/>
  <c r="O95" i="5"/>
  <c r="D95" i="5"/>
  <c r="F46" i="4"/>
  <c r="Q4" i="6"/>
  <c r="E10" i="6"/>
  <c r="E29" i="6" s="1"/>
  <c r="E56" i="6" s="1"/>
  <c r="G10" i="6"/>
  <c r="I10" i="6"/>
  <c r="I29" i="6" s="1"/>
  <c r="K10" i="6"/>
  <c r="K29" i="6" s="1"/>
  <c r="M10" i="6"/>
  <c r="M29" i="6" s="1"/>
  <c r="O10" i="6"/>
  <c r="O29" i="6" s="1"/>
  <c r="O56" i="6" s="1"/>
  <c r="O62" i="6" s="1"/>
  <c r="O67" i="6" s="1"/>
  <c r="O76" i="6" s="1"/>
  <c r="Q7" i="6"/>
  <c r="Q73" i="6"/>
  <c r="D139" i="5"/>
  <c r="D161" i="5" s="1"/>
  <c r="N124" i="5"/>
  <c r="N139" i="5" s="1"/>
  <c r="N161" i="5" s="1"/>
  <c r="L124" i="5"/>
  <c r="L139" i="5" s="1"/>
  <c r="L161" i="5" s="1"/>
  <c r="J124" i="5"/>
  <c r="J139" i="5" s="1"/>
  <c r="J161" i="5" s="1"/>
  <c r="H124" i="5"/>
  <c r="H139" i="5" s="1"/>
  <c r="H161" i="5" s="1"/>
  <c r="F124" i="5"/>
  <c r="F139" i="5" s="1"/>
  <c r="F161" i="5" s="1"/>
  <c r="O124" i="5"/>
  <c r="O139" i="5" s="1"/>
  <c r="O161" i="5" s="1"/>
  <c r="M124" i="5"/>
  <c r="M139" i="5" s="1"/>
  <c r="M161" i="5" s="1"/>
  <c r="K124" i="5"/>
  <c r="K139" i="5" s="1"/>
  <c r="K161" i="5" s="1"/>
  <c r="I124" i="5"/>
  <c r="I139" i="5" s="1"/>
  <c r="I161" i="5" s="1"/>
  <c r="G124" i="5"/>
  <c r="E124" i="5"/>
  <c r="E139" i="5" s="1"/>
  <c r="E161" i="5" s="1"/>
  <c r="P151" i="5"/>
  <c r="Q151" i="5" s="1"/>
  <c r="P144" i="5"/>
  <c r="Q144" i="5" s="1"/>
  <c r="D21" i="5"/>
  <c r="N21" i="5"/>
  <c r="L21" i="5"/>
  <c r="J21" i="5"/>
  <c r="H21" i="5"/>
  <c r="F21" i="5"/>
  <c r="O21" i="5"/>
  <c r="M21" i="5"/>
  <c r="K21" i="5"/>
  <c r="I21" i="5"/>
  <c r="G21" i="5"/>
  <c r="E21" i="5"/>
  <c r="O35" i="5"/>
  <c r="M35" i="5"/>
  <c r="K35" i="5"/>
  <c r="I35" i="5"/>
  <c r="G35" i="5"/>
  <c r="E35" i="5"/>
  <c r="N35" i="5"/>
  <c r="L35" i="5"/>
  <c r="J35" i="5"/>
  <c r="H35" i="5"/>
  <c r="F35" i="5"/>
  <c r="D35" i="5"/>
  <c r="P36" i="5"/>
  <c r="Q36" i="5" s="1"/>
  <c r="Q22" i="10"/>
  <c r="D18" i="8"/>
  <c r="D16" i="8"/>
  <c r="D19" i="8"/>
  <c r="D17" i="8"/>
  <c r="B85" i="8"/>
  <c r="B87" i="8" s="1"/>
  <c r="D54" i="8"/>
  <c r="U10" i="8" s="1"/>
  <c r="U14" i="8" s="1"/>
  <c r="D53" i="8"/>
  <c r="O10" i="8" s="1"/>
  <c r="B62" i="8"/>
  <c r="B63" i="8" s="1"/>
  <c r="B64" i="8" s="1"/>
  <c r="B65" i="8" s="1"/>
  <c r="B81" i="8"/>
  <c r="B82" i="8" s="1"/>
  <c r="B83" i="8" s="1"/>
  <c r="B84" i="8" s="1"/>
  <c r="H4" i="7"/>
  <c r="H8" i="7"/>
  <c r="H56" i="7"/>
  <c r="H54" i="7"/>
  <c r="H52" i="7"/>
  <c r="H50" i="7"/>
  <c r="H48" i="7"/>
  <c r="H46" i="7"/>
  <c r="H44" i="7"/>
  <c r="H42" i="7"/>
  <c r="H40" i="7"/>
  <c r="H38" i="7"/>
  <c r="H36" i="7"/>
  <c r="H34" i="7"/>
  <c r="H57" i="7"/>
  <c r="H53" i="7"/>
  <c r="H49" i="7"/>
  <c r="H45" i="7"/>
  <c r="H41" i="7"/>
  <c r="H37" i="7"/>
  <c r="H33" i="7"/>
  <c r="H28" i="7"/>
  <c r="H26" i="7"/>
  <c r="H24" i="7"/>
  <c r="H22" i="7"/>
  <c r="H21" i="7"/>
  <c r="H20" i="7"/>
  <c r="H18" i="7"/>
  <c r="H15" i="7"/>
  <c r="H13" i="7"/>
  <c r="H11" i="7"/>
  <c r="H10" i="7"/>
  <c r="H9" i="7"/>
  <c r="H7" i="7"/>
  <c r="H5" i="7"/>
  <c r="H3" i="7"/>
  <c r="I3" i="7" s="1"/>
  <c r="K3" i="7" s="1"/>
  <c r="H55" i="7"/>
  <c r="H51" i="7"/>
  <c r="H47" i="7"/>
  <c r="H19" i="7"/>
  <c r="H25" i="7"/>
  <c r="H29" i="7"/>
  <c r="H30" i="7"/>
  <c r="H31" i="7"/>
  <c r="H32" i="7"/>
  <c r="H35" i="7"/>
  <c r="H43" i="7"/>
  <c r="M3" i="7"/>
  <c r="G4" i="7" s="1"/>
  <c r="H6" i="7"/>
  <c r="H12" i="7"/>
  <c r="H16" i="7"/>
  <c r="H17" i="7"/>
  <c r="H23" i="7"/>
  <c r="H27" i="7"/>
  <c r="H39" i="7"/>
  <c r="F70" i="4"/>
  <c r="P137" i="5"/>
  <c r="F59" i="4"/>
  <c r="G29" i="6"/>
  <c r="G56" i="6" s="1"/>
  <c r="G62" i="6" s="1"/>
  <c r="G67" i="6" s="1"/>
  <c r="G76" i="6" s="1"/>
  <c r="G81" i="6" s="1"/>
  <c r="H80" i="6" s="1"/>
  <c r="Q5" i="6"/>
  <c r="F10" i="6"/>
  <c r="H10" i="6"/>
  <c r="J10" i="6"/>
  <c r="L10" i="6"/>
  <c r="N10" i="6"/>
  <c r="P10" i="6"/>
  <c r="Q6" i="6"/>
  <c r="Q15" i="6"/>
  <c r="Q16" i="6"/>
  <c r="Q28" i="6"/>
  <c r="Q40" i="6"/>
  <c r="F42" i="4" s="1"/>
  <c r="Q47" i="6"/>
  <c r="Q60" i="6"/>
  <c r="Q69" i="6"/>
  <c r="P139" i="5" l="1"/>
  <c r="Q139" i="5" s="1"/>
  <c r="Q137" i="5"/>
  <c r="E62" i="6"/>
  <c r="E67" i="6" s="1"/>
  <c r="G139" i="5"/>
  <c r="G161" i="5" s="1"/>
  <c r="M56" i="6"/>
  <c r="M62" i="6" s="1"/>
  <c r="M67" i="6" s="1"/>
  <c r="M76" i="6" s="1"/>
  <c r="M58" i="6"/>
  <c r="I56" i="6"/>
  <c r="I62" i="6" s="1"/>
  <c r="I67" i="6" s="1"/>
  <c r="I76" i="6" s="1"/>
  <c r="I58" i="6"/>
  <c r="O58" i="6"/>
  <c r="K58" i="6"/>
  <c r="G58" i="6"/>
  <c r="I103" i="5"/>
  <c r="M103" i="5"/>
  <c r="F103" i="5"/>
  <c r="N103" i="5"/>
  <c r="D103" i="5"/>
  <c r="E103" i="5"/>
  <c r="K56" i="6"/>
  <c r="K62" i="6" s="1"/>
  <c r="K67" i="6" s="1"/>
  <c r="K76" i="6" s="1"/>
  <c r="E58" i="6"/>
  <c r="G103" i="5"/>
  <c r="K103" i="5"/>
  <c r="O103" i="5"/>
  <c r="J103" i="5"/>
  <c r="H103" i="5"/>
  <c r="L103" i="5"/>
  <c r="F48" i="5"/>
  <c r="J48" i="5"/>
  <c r="N48" i="5"/>
  <c r="E48" i="5"/>
  <c r="I48" i="5"/>
  <c r="M48" i="5"/>
  <c r="D48" i="5"/>
  <c r="H48" i="5"/>
  <c r="L48" i="5"/>
  <c r="G48" i="5"/>
  <c r="K48" i="5"/>
  <c r="O48" i="5"/>
  <c r="F28" i="4"/>
  <c r="P25" i="5"/>
  <c r="P21" i="5"/>
  <c r="Q21" i="5" s="1"/>
  <c r="P35" i="5"/>
  <c r="D89" i="8"/>
  <c r="D92" i="8"/>
  <c r="D91" i="8"/>
  <c r="D90" i="8"/>
  <c r="O14" i="8"/>
  <c r="W10" i="8"/>
  <c r="B66" i="8"/>
  <c r="B68" i="8" s="1"/>
  <c r="I4" i="7"/>
  <c r="K4" i="7" s="1"/>
  <c r="M4" i="7"/>
  <c r="G5" i="7" s="1"/>
  <c r="J4" i="7"/>
  <c r="L4" i="7" s="1"/>
  <c r="P29" i="6"/>
  <c r="L29" i="6"/>
  <c r="H29" i="6"/>
  <c r="N29" i="6"/>
  <c r="J29" i="6"/>
  <c r="F29" i="6"/>
  <c r="Q10" i="6"/>
  <c r="P161" i="5" l="1"/>
  <c r="Q161" i="5" s="1"/>
  <c r="F16" i="4"/>
  <c r="Q25" i="5"/>
  <c r="F18" i="4"/>
  <c r="Q35" i="5"/>
  <c r="F10" i="4"/>
  <c r="Q29" i="6"/>
  <c r="P48" i="5"/>
  <c r="F17" i="4"/>
  <c r="D70" i="8"/>
  <c r="P11" i="8" s="1"/>
  <c r="D73" i="8"/>
  <c r="V12" i="8" s="1"/>
  <c r="W12" i="8" s="1"/>
  <c r="D72" i="8"/>
  <c r="V11" i="8" s="1"/>
  <c r="V14" i="8" s="1"/>
  <c r="D71" i="8"/>
  <c r="T11" i="8" s="1"/>
  <c r="T14" i="8" s="1"/>
  <c r="J5" i="7"/>
  <c r="F56" i="6"/>
  <c r="F58" i="6"/>
  <c r="J58" i="6"/>
  <c r="J56" i="6"/>
  <c r="J62" i="6" s="1"/>
  <c r="J67" i="6" s="1"/>
  <c r="J76" i="6" s="1"/>
  <c r="N56" i="6"/>
  <c r="N62" i="6" s="1"/>
  <c r="N67" i="6" s="1"/>
  <c r="N76" i="6" s="1"/>
  <c r="N58" i="6"/>
  <c r="E76" i="6"/>
  <c r="H58" i="6"/>
  <c r="H56" i="6"/>
  <c r="H62" i="6" s="1"/>
  <c r="H67" i="6" s="1"/>
  <c r="H76" i="6" s="1"/>
  <c r="H81" i="6" s="1"/>
  <c r="I80" i="6" s="1"/>
  <c r="I81" i="6" s="1"/>
  <c r="J80" i="6" s="1"/>
  <c r="L58" i="6"/>
  <c r="L56" i="6"/>
  <c r="L62" i="6" s="1"/>
  <c r="L67" i="6" s="1"/>
  <c r="L76" i="6" s="1"/>
  <c r="P58" i="6"/>
  <c r="P56" i="6"/>
  <c r="P62" i="6" s="1"/>
  <c r="P67" i="6" s="1"/>
  <c r="P76" i="6" s="1"/>
  <c r="F23" i="4" l="1"/>
  <c r="Q48" i="5"/>
  <c r="P14" i="8"/>
  <c r="W11" i="8"/>
  <c r="W14" i="8" s="1"/>
  <c r="L5" i="7"/>
  <c r="I5" i="7"/>
  <c r="J81" i="6"/>
  <c r="K80" i="6" s="1"/>
  <c r="K81" i="6" s="1"/>
  <c r="L80" i="6" s="1"/>
  <c r="L81" i="6" s="1"/>
  <c r="M80" i="6" s="1"/>
  <c r="M81" i="6" s="1"/>
  <c r="N80" i="6" s="1"/>
  <c r="N81" i="6" s="1"/>
  <c r="O80" i="6" s="1"/>
  <c r="O81" i="6" s="1"/>
  <c r="P80" i="6" s="1"/>
  <c r="P81" i="6" s="1"/>
  <c r="P85" i="6" s="1"/>
  <c r="Q58" i="6"/>
  <c r="F62" i="6"/>
  <c r="Q56" i="6"/>
  <c r="K5" i="7" l="1"/>
  <c r="M5" i="7"/>
  <c r="G6" i="7" s="1"/>
  <c r="F67" i="6"/>
  <c r="Q62" i="6"/>
  <c r="J6" i="7" l="1"/>
  <c r="F76" i="6"/>
  <c r="Q76" i="6" s="1"/>
  <c r="Q67" i="6"/>
  <c r="L6" i="7" l="1"/>
  <c r="I6" i="7"/>
  <c r="K6" i="7" l="1"/>
  <c r="M6" i="7"/>
  <c r="G7" i="7" s="1"/>
  <c r="J7" i="7" l="1"/>
  <c r="L7" i="7" l="1"/>
  <c r="I7" i="7"/>
  <c r="K7" i="7" l="1"/>
  <c r="M7" i="7"/>
  <c r="G8" i="7" s="1"/>
  <c r="J8" i="7" l="1"/>
  <c r="L8" i="7" l="1"/>
  <c r="I8" i="7"/>
  <c r="K8" i="7" l="1"/>
  <c r="M8" i="7"/>
  <c r="G9" i="7" s="1"/>
  <c r="J9" i="7" l="1"/>
  <c r="L9" i="7" l="1"/>
  <c r="I9" i="7"/>
  <c r="K9" i="7" l="1"/>
  <c r="M9" i="7"/>
  <c r="G10" i="7" s="1"/>
  <c r="J10" i="7" l="1"/>
  <c r="L10" i="7" l="1"/>
  <c r="I10" i="7"/>
  <c r="K10" i="7" l="1"/>
  <c r="M10" i="7"/>
  <c r="G11" i="7" s="1"/>
  <c r="J11" i="7" l="1"/>
  <c r="L11" i="7" l="1"/>
  <c r="I11" i="7"/>
  <c r="K11" i="7" l="1"/>
  <c r="M11" i="7"/>
  <c r="G12" i="7" s="1"/>
  <c r="J12" i="7" l="1"/>
  <c r="L12" i="7" l="1"/>
  <c r="I12" i="7"/>
  <c r="K12" i="7" l="1"/>
  <c r="M12" i="7"/>
  <c r="G13" i="7" s="1"/>
  <c r="J13" i="7" l="1"/>
  <c r="L13" i="7" l="1"/>
  <c r="I13" i="7"/>
  <c r="K13" i="7" l="1"/>
  <c r="M13" i="7"/>
  <c r="G14" i="7" s="1"/>
  <c r="J14" i="7" l="1"/>
  <c r="L14" i="7" l="1"/>
  <c r="I14" i="7"/>
  <c r="K14" i="7" l="1"/>
  <c r="M14" i="7"/>
  <c r="G15" i="7" s="1"/>
  <c r="J15" i="7" l="1"/>
  <c r="L15" i="7" l="1"/>
  <c r="I15" i="7"/>
  <c r="K15" i="7" l="1"/>
  <c r="M15" i="7"/>
  <c r="G16" i="7" s="1"/>
  <c r="J16" i="7" l="1"/>
  <c r="L16" i="7" l="1"/>
  <c r="I16" i="7"/>
  <c r="K16" i="7" l="1"/>
  <c r="M16" i="7"/>
  <c r="G17" i="7" s="1"/>
  <c r="J17" i="7" l="1"/>
  <c r="L17" i="7" l="1"/>
  <c r="I17" i="7"/>
  <c r="K17" i="7" l="1"/>
  <c r="M17" i="7"/>
  <c r="G18" i="7" s="1"/>
  <c r="J18" i="7" l="1"/>
  <c r="L18" i="7" l="1"/>
  <c r="I18" i="7"/>
  <c r="K18" i="7" l="1"/>
  <c r="M18" i="7"/>
  <c r="G19" i="7" s="1"/>
  <c r="J19" i="7" l="1"/>
  <c r="L19" i="7" l="1"/>
  <c r="I19" i="7"/>
  <c r="K19" i="7" l="1"/>
  <c r="M19" i="7"/>
  <c r="G20" i="7" s="1"/>
  <c r="J20" i="7" l="1"/>
  <c r="L20" i="7" l="1"/>
  <c r="I20" i="7"/>
  <c r="K20" i="7" l="1"/>
  <c r="M20" i="7"/>
  <c r="G21" i="7" s="1"/>
  <c r="J21" i="7" l="1"/>
  <c r="L21" i="7" l="1"/>
  <c r="I21" i="7"/>
  <c r="K21" i="7" l="1"/>
  <c r="M21" i="7"/>
  <c r="G22" i="7" s="1"/>
  <c r="J22" i="7" l="1"/>
  <c r="L22" i="7" l="1"/>
  <c r="I22" i="7"/>
  <c r="K22" i="7" l="1"/>
  <c r="M22" i="7"/>
  <c r="G23" i="7" s="1"/>
  <c r="J23" i="7" l="1"/>
  <c r="L23" i="7" l="1"/>
  <c r="I23" i="7"/>
  <c r="K23" i="7" l="1"/>
  <c r="M23" i="7"/>
  <c r="G24" i="7" s="1"/>
  <c r="J24" i="7" l="1"/>
  <c r="L24" i="7" l="1"/>
  <c r="I24" i="7"/>
  <c r="K24" i="7" l="1"/>
  <c r="M24" i="7"/>
  <c r="G25" i="7" s="1"/>
  <c r="J25" i="7" l="1"/>
  <c r="L25" i="7" l="1"/>
  <c r="I25" i="7"/>
  <c r="K25" i="7" l="1"/>
  <c r="M25" i="7"/>
  <c r="G26" i="7" s="1"/>
  <c r="J26" i="7" l="1"/>
  <c r="L26" i="7" l="1"/>
  <c r="I26" i="7"/>
  <c r="K26" i="7" l="1"/>
  <c r="M26" i="7"/>
  <c r="G27" i="7" s="1"/>
  <c r="J27" i="7" l="1"/>
  <c r="L27" i="7" l="1"/>
  <c r="I27" i="7"/>
  <c r="K27" i="7" l="1"/>
  <c r="M27" i="7"/>
  <c r="G28" i="7" s="1"/>
  <c r="J28" i="7" l="1"/>
  <c r="L28" i="7" l="1"/>
  <c r="I28" i="7"/>
  <c r="K28" i="7" l="1"/>
  <c r="M28" i="7"/>
  <c r="G29" i="7" s="1"/>
  <c r="J29" i="7" l="1"/>
  <c r="L29" i="7" l="1"/>
  <c r="I29" i="7"/>
  <c r="K29" i="7" l="1"/>
  <c r="M29" i="7"/>
  <c r="G30" i="7" s="1"/>
  <c r="J30" i="7" l="1"/>
  <c r="L30" i="7" l="1"/>
  <c r="I30" i="7"/>
  <c r="K30" i="7" l="1"/>
  <c r="M30" i="7"/>
  <c r="G31" i="7" s="1"/>
  <c r="J31" i="7" l="1"/>
  <c r="L31" i="7" l="1"/>
  <c r="I31" i="7"/>
  <c r="K31" i="7" l="1"/>
  <c r="M31" i="7"/>
  <c r="G32" i="7" s="1"/>
  <c r="J32" i="7" l="1"/>
  <c r="L32" i="7" l="1"/>
  <c r="I32" i="7"/>
  <c r="K32" i="7" l="1"/>
  <c r="M32" i="7"/>
  <c r="G33" i="7" s="1"/>
  <c r="J33" i="7" l="1"/>
  <c r="L33" i="7" l="1"/>
  <c r="I33" i="7"/>
  <c r="K33" i="7" l="1"/>
  <c r="M33" i="7"/>
  <c r="G34" i="7" s="1"/>
  <c r="J34" i="7" l="1"/>
  <c r="L34" i="7" l="1"/>
  <c r="I34" i="7"/>
  <c r="K34" i="7" l="1"/>
  <c r="M34" i="7"/>
  <c r="G35" i="7" s="1"/>
  <c r="J35" i="7" l="1"/>
  <c r="L35" i="7" l="1"/>
  <c r="I35" i="7"/>
  <c r="K35" i="7" l="1"/>
  <c r="M35" i="7"/>
  <c r="G36" i="7" s="1"/>
  <c r="J36" i="7" l="1"/>
  <c r="L36" i="7" l="1"/>
  <c r="I36" i="7"/>
  <c r="K36" i="7" l="1"/>
  <c r="M36" i="7"/>
  <c r="G37" i="7" s="1"/>
  <c r="J37" i="7" l="1"/>
  <c r="L37" i="7" l="1"/>
  <c r="I37" i="7"/>
  <c r="K37" i="7" l="1"/>
  <c r="M37" i="7"/>
  <c r="G38" i="7" s="1"/>
  <c r="J38" i="7" l="1"/>
  <c r="L38" i="7" l="1"/>
  <c r="I38" i="7"/>
  <c r="K38" i="7" l="1"/>
  <c r="M38" i="7"/>
  <c r="G39" i="7" s="1"/>
  <c r="J39" i="7" l="1"/>
  <c r="L39" i="7" l="1"/>
  <c r="I39" i="7"/>
  <c r="K39" i="7" l="1"/>
  <c r="M39" i="7"/>
  <c r="G40" i="7" s="1"/>
  <c r="J40" i="7" l="1"/>
  <c r="L40" i="7" l="1"/>
  <c r="I40" i="7"/>
  <c r="K40" i="7" l="1"/>
  <c r="M40" i="7"/>
  <c r="G41" i="7" s="1"/>
  <c r="J41" i="7" l="1"/>
  <c r="L41" i="7" l="1"/>
  <c r="I41" i="7"/>
  <c r="K41" i="7" l="1"/>
  <c r="M41" i="7"/>
  <c r="G42" i="7" s="1"/>
  <c r="J42" i="7" l="1"/>
  <c r="L42" i="7" l="1"/>
  <c r="I42" i="7"/>
  <c r="K42" i="7" l="1"/>
  <c r="M42" i="7"/>
  <c r="G43" i="7" s="1"/>
  <c r="J43" i="7" l="1"/>
  <c r="L43" i="7" l="1"/>
  <c r="I43" i="7"/>
  <c r="K43" i="7" l="1"/>
  <c r="M43" i="7"/>
  <c r="G44" i="7" s="1"/>
  <c r="J44" i="7" l="1"/>
  <c r="L44" i="7" l="1"/>
  <c r="I44" i="7"/>
  <c r="K44" i="7" l="1"/>
  <c r="M44" i="7"/>
  <c r="G45" i="7" s="1"/>
  <c r="J45" i="7" l="1"/>
  <c r="L45" i="7" l="1"/>
  <c r="I45" i="7"/>
  <c r="K45" i="7" l="1"/>
  <c r="M45" i="7"/>
  <c r="G46" i="7" s="1"/>
  <c r="J46" i="7" l="1"/>
  <c r="L46" i="7" l="1"/>
  <c r="I46" i="7"/>
  <c r="K46" i="7" l="1"/>
  <c r="M46" i="7"/>
  <c r="G47" i="7" s="1"/>
  <c r="J47" i="7" l="1"/>
  <c r="L47" i="7" l="1"/>
  <c r="I47" i="7"/>
  <c r="K47" i="7" l="1"/>
  <c r="M47" i="7"/>
  <c r="G48" i="7" s="1"/>
  <c r="J48" i="7" l="1"/>
  <c r="L48" i="7" l="1"/>
  <c r="I48" i="7"/>
  <c r="K48" i="7" l="1"/>
  <c r="M48" i="7"/>
  <c r="G49" i="7" s="1"/>
  <c r="J49" i="7" l="1"/>
  <c r="L49" i="7" l="1"/>
  <c r="I49" i="7"/>
  <c r="K49" i="7" l="1"/>
  <c r="M49" i="7"/>
  <c r="G50" i="7" s="1"/>
  <c r="J50" i="7" l="1"/>
  <c r="L50" i="7" l="1"/>
  <c r="I50" i="7"/>
  <c r="K50" i="7" l="1"/>
  <c r="M50" i="7"/>
  <c r="G51" i="7" s="1"/>
  <c r="J51" i="7" l="1"/>
  <c r="L51" i="7" l="1"/>
  <c r="I51" i="7"/>
  <c r="K51" i="7" l="1"/>
  <c r="M51" i="7"/>
  <c r="G52" i="7" s="1"/>
  <c r="J52" i="7" l="1"/>
  <c r="L52" i="7" l="1"/>
  <c r="I52" i="7"/>
  <c r="K52" i="7" l="1"/>
  <c r="M52" i="7"/>
  <c r="G53" i="7" s="1"/>
  <c r="J53" i="7" l="1"/>
  <c r="L53" i="7" l="1"/>
  <c r="I53" i="7"/>
  <c r="K53" i="7" l="1"/>
  <c r="M53" i="7"/>
  <c r="G54" i="7" s="1"/>
  <c r="J54" i="7" l="1"/>
  <c r="L54" i="7" l="1"/>
  <c r="I54" i="7"/>
  <c r="K54" i="7" l="1"/>
  <c r="M54" i="7"/>
  <c r="G55" i="7" s="1"/>
  <c r="J55" i="7" l="1"/>
  <c r="L55" i="7" l="1"/>
  <c r="I55" i="7"/>
  <c r="K55" i="7" l="1"/>
  <c r="M55" i="7"/>
  <c r="G56" i="7" s="1"/>
  <c r="J56" i="7" l="1"/>
  <c r="L56" i="7" l="1"/>
  <c r="I56" i="7"/>
  <c r="K56" i="7" l="1"/>
  <c r="M56" i="7"/>
  <c r="G57" i="7" s="1"/>
  <c r="J57" i="7" l="1"/>
  <c r="L57" i="7" l="1"/>
  <c r="I57" i="7"/>
  <c r="K57" i="7" l="1"/>
  <c r="M57" i="7"/>
  <c r="H54" i="5" l="1"/>
  <c r="H56" i="5" s="1"/>
  <c r="H58" i="5" s="1"/>
  <c r="G54" i="5"/>
  <c r="G56" i="5" s="1"/>
  <c r="G58" i="5" s="1"/>
  <c r="N54" i="5"/>
  <c r="N56" i="5" s="1"/>
  <c r="N58" i="5" s="1"/>
  <c r="P56" i="5"/>
  <c r="M54" i="5"/>
  <c r="M56" i="5" s="1"/>
  <c r="M58" i="5" s="1"/>
  <c r="O54" i="5"/>
  <c r="O56" i="5" s="1"/>
  <c r="O58" i="5" s="1"/>
  <c r="E54" i="5"/>
  <c r="E56" i="5" s="1"/>
  <c r="E58" i="5" s="1"/>
  <c r="L54" i="5"/>
  <c r="L56" i="5" s="1"/>
  <c r="L58" i="5" s="1"/>
  <c r="K54" i="5"/>
  <c r="K56" i="5" s="1"/>
  <c r="K58" i="5" s="1"/>
  <c r="I54" i="5"/>
  <c r="I56" i="5" s="1"/>
  <c r="I58" i="5" s="1"/>
  <c r="J54" i="5"/>
  <c r="J56" i="5" s="1"/>
  <c r="J58" i="5" s="1"/>
  <c r="D54" i="5"/>
  <c r="D56" i="5" s="1"/>
  <c r="D58" i="5" s="1"/>
  <c r="F54" i="5"/>
  <c r="F56" i="5" s="1"/>
  <c r="F58" i="5" s="1"/>
  <c r="F29" i="4"/>
  <c r="F30" i="4"/>
  <c r="F32" i="4"/>
  <c r="F33" i="4"/>
  <c r="P58" i="5" l="1"/>
  <c r="Q56" i="5"/>
  <c r="F31" i="4"/>
  <c r="Q75" i="5"/>
  <c r="P87" i="5"/>
  <c r="Q87" i="5" s="1"/>
  <c r="Q58" i="5" l="1"/>
  <c r="P78" i="5"/>
  <c r="F40" i="4"/>
  <c r="D100" i="5"/>
  <c r="O100" i="5"/>
  <c r="L100" i="5"/>
  <c r="M100" i="5"/>
  <c r="E100" i="5"/>
  <c r="J100" i="5"/>
  <c r="G100" i="5"/>
  <c r="H100" i="5"/>
  <c r="I100" i="5"/>
  <c r="N100" i="5"/>
  <c r="K100" i="5"/>
  <c r="P98" i="5"/>
  <c r="F100" i="5"/>
  <c r="E78" i="5" l="1"/>
  <c r="E79" i="5" s="1"/>
  <c r="G78" i="5"/>
  <c r="G79" i="5" s="1"/>
  <c r="I78" i="5"/>
  <c r="I79" i="5" s="1"/>
  <c r="K78" i="5"/>
  <c r="K79" i="5" s="1"/>
  <c r="M78" i="5"/>
  <c r="M79" i="5" s="1"/>
  <c r="O78" i="5"/>
  <c r="O79" i="5" s="1"/>
  <c r="F78" i="5"/>
  <c r="F79" i="5" s="1"/>
  <c r="H78" i="5"/>
  <c r="H79" i="5" s="1"/>
  <c r="J78" i="5"/>
  <c r="J79" i="5" s="1"/>
  <c r="L78" i="5"/>
  <c r="L79" i="5" s="1"/>
  <c r="N78" i="5"/>
  <c r="N79" i="5" s="1"/>
  <c r="D78" i="5"/>
  <c r="D79" i="5" s="1"/>
  <c r="P79" i="5"/>
  <c r="Q78" i="5"/>
  <c r="Q79" i="5" s="1"/>
  <c r="P100" i="5"/>
  <c r="Q100" i="5" s="1"/>
  <c r="Q98" i="5"/>
  <c r="M106" i="5" l="1"/>
  <c r="M110" i="5" s="1"/>
  <c r="M117" i="5" s="1"/>
  <c r="M120" i="5" s="1"/>
  <c r="M163" i="5" s="1"/>
  <c r="M180" i="5" s="1"/>
  <c r="K106" i="5"/>
  <c r="K110" i="5" s="1"/>
  <c r="K117" i="5" s="1"/>
  <c r="K120" i="5" s="1"/>
  <c r="K163" i="5" s="1"/>
  <c r="K180" i="5" s="1"/>
  <c r="H106" i="5"/>
  <c r="H110" i="5" s="1"/>
  <c r="H117" i="5" s="1"/>
  <c r="H120" i="5" s="1"/>
  <c r="H163" i="5" s="1"/>
  <c r="H180" i="5" s="1"/>
  <c r="N106" i="5"/>
  <c r="N110" i="5" s="1"/>
  <c r="N117" i="5" s="1"/>
  <c r="N120" i="5" s="1"/>
  <c r="N163" i="5" s="1"/>
  <c r="N180" i="5" s="1"/>
  <c r="E106" i="5"/>
  <c r="E110" i="5" s="1"/>
  <c r="E117" i="5" s="1"/>
  <c r="E120" i="5" s="1"/>
  <c r="E163" i="5" s="1"/>
  <c r="E180" i="5" s="1"/>
  <c r="F106" i="5"/>
  <c r="F110" i="5" s="1"/>
  <c r="F117" i="5" s="1"/>
  <c r="F120" i="5" s="1"/>
  <c r="F163" i="5" s="1"/>
  <c r="F180" i="5" s="1"/>
  <c r="J106" i="5"/>
  <c r="J110" i="5" s="1"/>
  <c r="J117" i="5" s="1"/>
  <c r="J120" i="5" s="1"/>
  <c r="J163" i="5" s="1"/>
  <c r="J180" i="5" s="1"/>
  <c r="G106" i="5"/>
  <c r="G110" i="5" s="1"/>
  <c r="G117" i="5" s="1"/>
  <c r="G120" i="5" s="1"/>
  <c r="G163" i="5" s="1"/>
  <c r="G180" i="5" s="1"/>
  <c r="L106" i="5"/>
  <c r="L110" i="5" s="1"/>
  <c r="L117" i="5" s="1"/>
  <c r="L120" i="5" s="1"/>
  <c r="L163" i="5" s="1"/>
  <c r="L180" i="5" s="1"/>
  <c r="I106" i="5"/>
  <c r="I110" i="5" s="1"/>
  <c r="I117" i="5" s="1"/>
  <c r="I120" i="5" s="1"/>
  <c r="I163" i="5" s="1"/>
  <c r="I180" i="5" s="1"/>
  <c r="O106" i="5"/>
  <c r="O110" i="5" s="1"/>
  <c r="O117" i="5" s="1"/>
  <c r="O120" i="5" s="1"/>
  <c r="O163" i="5" s="1"/>
  <c r="O180" i="5" s="1"/>
  <c r="P110" i="5"/>
  <c r="P117" i="5" s="1"/>
  <c r="P120" i="5" s="1"/>
  <c r="P163" i="5" s="1"/>
  <c r="P180" i="5" s="1"/>
  <c r="D106" i="5"/>
  <c r="D110" i="5" s="1"/>
  <c r="C106" i="5"/>
  <c r="F53" i="4" s="1"/>
  <c r="Q106" i="5" l="1"/>
  <c r="C110" i="5"/>
  <c r="C117" i="5" s="1"/>
  <c r="D117" i="5"/>
  <c r="D120" i="5" s="1"/>
  <c r="D163" i="5" s="1"/>
  <c r="Q110" i="5"/>
  <c r="D180" i="5" l="1"/>
  <c r="D166" i="5"/>
  <c r="E165" i="5" s="1"/>
  <c r="E166" i="5" s="1"/>
  <c r="F165" i="5" s="1"/>
  <c r="F166" i="5" s="1"/>
  <c r="G165" i="5" s="1"/>
  <c r="G166" i="5" s="1"/>
  <c r="H165" i="5" s="1"/>
  <c r="H166" i="5" s="1"/>
  <c r="I165" i="5" s="1"/>
  <c r="I166" i="5" s="1"/>
  <c r="J165" i="5" s="1"/>
  <c r="J166" i="5" s="1"/>
  <c r="K165" i="5" s="1"/>
  <c r="K166" i="5" s="1"/>
  <c r="L165" i="5" s="1"/>
  <c r="L166" i="5" s="1"/>
  <c r="M165" i="5" s="1"/>
  <c r="M166" i="5" s="1"/>
  <c r="N165" i="5" s="1"/>
  <c r="N166" i="5" s="1"/>
  <c r="O165" i="5" s="1"/>
  <c r="O166" i="5" s="1"/>
  <c r="Q117" i="5"/>
  <c r="C120" i="5"/>
  <c r="Q120" i="5" l="1"/>
  <c r="C163" i="5"/>
  <c r="Q163" i="5" s="1"/>
</calcChain>
</file>

<file path=xl/sharedStrings.xml><?xml version="1.0" encoding="utf-8"?>
<sst xmlns="http://schemas.openxmlformats.org/spreadsheetml/2006/main" count="967" uniqueCount="540">
  <si>
    <t>Variance</t>
  </si>
  <si>
    <t>4000-0000</t>
  </si>
  <si>
    <t>    INCOME</t>
  </si>
  <si>
    <t>4100-0000</t>
  </si>
  <si>
    <t> RENT INCOME</t>
  </si>
  <si>
    <t>4500-0000</t>
  </si>
  <si>
    <t> RENTAL INCOME</t>
  </si>
  <si>
    <t>4705-0000</t>
  </si>
  <si>
    <t> TENANT IMPROVEMENT</t>
  </si>
  <si>
    <t>4990-0000</t>
  </si>
  <si>
    <t>  TOTAL RENT INCOME</t>
  </si>
  <si>
    <t>5100-0000</t>
  </si>
  <si>
    <t> EXPENSE REIMB.-TENANT</t>
  </si>
  <si>
    <t>5135-0000</t>
  </si>
  <si>
    <t> REIMB. - UTILITIES</t>
  </si>
  <si>
    <t>5200-0000</t>
  </si>
  <si>
    <t> CAM ESTIMATE</t>
  </si>
  <si>
    <t>5210-0000</t>
  </si>
  <si>
    <t> INSURANCE ESTIMATE</t>
  </si>
  <si>
    <t>5220-0000</t>
  </si>
  <si>
    <t> TAXES ESTIMATE</t>
  </si>
  <si>
    <t>5300-0000</t>
  </si>
  <si>
    <t> CAM RECOVERY</t>
  </si>
  <si>
    <t>5310-0000</t>
  </si>
  <si>
    <t> INSURANCE RECOVERY</t>
  </si>
  <si>
    <t>5320-0000</t>
  </si>
  <si>
    <t> TAX RECOVERY</t>
  </si>
  <si>
    <t>5455-0000</t>
  </si>
  <si>
    <t> LATE FEES</t>
  </si>
  <si>
    <t>5490-0000</t>
  </si>
  <si>
    <t>    TOTAL EXPENSE REIMB.-TENANT</t>
  </si>
  <si>
    <t>5600-0000</t>
  </si>
  <si>
    <t>    OTHER INCOME</t>
  </si>
  <si>
    <t>5630-0000</t>
  </si>
  <si>
    <t> INCOME - OTHERS</t>
  </si>
  <si>
    <t>5700-0000</t>
  </si>
  <si>
    <t> INTEREST INCOME- BANK DEPOSIT</t>
  </si>
  <si>
    <t>5890-0000</t>
  </si>
  <si>
    <t>  TOTAL OTHER INCOME</t>
  </si>
  <si>
    <t>5990-0000</t>
  </si>
  <si>
    <t> TOTAL INCOME</t>
  </si>
  <si>
    <t>6000-0000</t>
  </si>
  <si>
    <t>    EXPENSES</t>
  </si>
  <si>
    <t>6200-0000</t>
  </si>
  <si>
    <t> CAM - EXPENSES</t>
  </si>
  <si>
    <t>6215-0000</t>
  </si>
  <si>
    <t> CAM-CLEANING MAINTENANCE</t>
  </si>
  <si>
    <t>6220-0000</t>
  </si>
  <si>
    <t> CAM-PARKING LOT MAINTENANCE</t>
  </si>
  <si>
    <t>6240-0000</t>
  </si>
  <si>
    <t> CAM - SNOW REMOVAL</t>
  </si>
  <si>
    <t>6265-0000</t>
  </si>
  <si>
    <t> CAM-SPRINKLER &amp; ALARM</t>
  </si>
  <si>
    <t>6270-0000</t>
  </si>
  <si>
    <t> CAM - INSURANCE</t>
  </si>
  <si>
    <t>6275-0000</t>
  </si>
  <si>
    <t> CAM - ELECTRICITY</t>
  </si>
  <si>
    <t>6285-0000</t>
  </si>
  <si>
    <t> CAM - WATER &amp; SEWER</t>
  </si>
  <si>
    <t>6291-0000</t>
  </si>
  <si>
    <t>TOTAL CAM - EXPENSES</t>
  </si>
  <si>
    <t>6292-0000</t>
  </si>
  <si>
    <t>DIRECT EXPENSE</t>
  </si>
  <si>
    <t>6425-0000</t>
  </si>
  <si>
    <t> REPAIRS - EXTERIORS</t>
  </si>
  <si>
    <t>6445-0000</t>
  </si>
  <si>
    <t> RUBBISH REMOVAL, Recycling</t>
  </si>
  <si>
    <t>6465-0000</t>
  </si>
  <si>
    <t> LANDSCAPING &amp; Parking Lot</t>
  </si>
  <si>
    <t>6475-0000</t>
  </si>
  <si>
    <t> INSURANCE -others</t>
  </si>
  <si>
    <t>6500-0000</t>
  </si>
  <si>
    <t> TAXES - REAL ESTATE</t>
  </si>
  <si>
    <t>6505-0000</t>
  </si>
  <si>
    <t> TAXES - VAULT,OTHERS</t>
  </si>
  <si>
    <t>6520-0000</t>
  </si>
  <si>
    <t> LICENSES &amp; PERMITS</t>
  </si>
  <si>
    <t>6545-0000</t>
  </si>
  <si>
    <t> WATER &amp; SEWER</t>
  </si>
  <si>
    <t>6555-0000</t>
  </si>
  <si>
    <t> MESSENGER &amp; DELIVERY</t>
  </si>
  <si>
    <t>6560-0000</t>
  </si>
  <si>
    <t> AUTO &amp; LOCAL FARE</t>
  </si>
  <si>
    <t>6562-0000</t>
  </si>
  <si>
    <t> CAR INSURANCE</t>
  </si>
  <si>
    <t>6605-0000</t>
  </si>
  <si>
    <t> PROFESSIONAL FEES-CONSULTANT</t>
  </si>
  <si>
    <t>6610-0000</t>
  </si>
  <si>
    <t> PROFESSIONAL FEES- LEGAL</t>
  </si>
  <si>
    <t>6615-0000</t>
  </si>
  <si>
    <t> PROFESSIONAL FEES- ACCTG.</t>
  </si>
  <si>
    <t>6625-0000</t>
  </si>
  <si>
    <t> BROKER'S COMMISSION</t>
  </si>
  <si>
    <t>6990-0000</t>
  </si>
  <si>
    <t>  TOTAL DIRECT EXPENSES</t>
  </si>
  <si>
    <t>7000-0000</t>
  </si>
  <si>
    <t> OFFICE &amp; MGMT EXPENSES</t>
  </si>
  <si>
    <t>7200-0000</t>
  </si>
  <si>
    <t> OFFICE- CAR INSURANCE</t>
  </si>
  <si>
    <t>7215-0000</t>
  </si>
  <si>
    <t> OFFICE-COMPUTER EXPENSES</t>
  </si>
  <si>
    <t>7405-0000</t>
  </si>
  <si>
    <t> OFFICE-CHARITABLE DONATIONS</t>
  </si>
  <si>
    <t>7425-0000</t>
  </si>
  <si>
    <t> OFFICE-POSTAGE</t>
  </si>
  <si>
    <t>7990-0000</t>
  </si>
  <si>
    <t> TOTAL OFFICE &amp; MGMT EXPENSES</t>
  </si>
  <si>
    <t>8500-0000</t>
  </si>
  <si>
    <t> INTEREST EXPENSE</t>
  </si>
  <si>
    <t>8505-0000</t>
  </si>
  <si>
    <t> INTEREST EXPENSE-MTGE #1</t>
  </si>
  <si>
    <t>8590-0000</t>
  </si>
  <si>
    <t>  TOTAL INTEREST EXPENSE</t>
  </si>
  <si>
    <t>8990-0000</t>
  </si>
  <si>
    <t> TOTAL EXPENSES</t>
  </si>
  <si>
    <t>9090-0000</t>
  </si>
  <si>
    <t>  NET INCOME</t>
  </si>
  <si>
    <t>    ADJUSTMENTS</t>
  </si>
  <si>
    <t>1145-0000</t>
  </si>
  <si>
    <t> ESCROW - R.E. TAX</t>
  </si>
  <si>
    <t>1190-0000</t>
  </si>
  <si>
    <t>  TOTAL CASH</t>
  </si>
  <si>
    <t>1191-0000</t>
  </si>
  <si>
    <t>RECEIVABLES</t>
  </si>
  <si>
    <t>1301-0000</t>
  </si>
  <si>
    <t> TENANT RENT RECEIVABLE</t>
  </si>
  <si>
    <t>1375-0000</t>
  </si>
  <si>
    <t> PREPAID TAXES</t>
  </si>
  <si>
    <t>1391-0000</t>
  </si>
  <si>
    <t>TOTAL RECEIVABLES</t>
  </si>
  <si>
    <t>1600-0000</t>
  </si>
  <si>
    <t>   PROPERTY</t>
  </si>
  <si>
    <t>1720-0000</t>
  </si>
  <si>
    <t> BUILDING IMPROVEMENT</t>
  </si>
  <si>
    <t>1800-0000</t>
  </si>
  <si>
    <t> DEFERRED COMM EXPENSE</t>
  </si>
  <si>
    <t>1890-0000</t>
  </si>
  <si>
    <t>  TOTAL PROPERTY</t>
  </si>
  <si>
    <t>1990-0000</t>
  </si>
  <si>
    <t> TOTAL ASSETS</t>
  </si>
  <si>
    <t>2010-0000</t>
  </si>
  <si>
    <t> LIABILITIES</t>
  </si>
  <si>
    <t>2200-0000</t>
  </si>
  <si>
    <t> ACCOUNTS PAYABLE - TRADE</t>
  </si>
  <si>
    <t>2220-0000</t>
  </si>
  <si>
    <t> PREPAID RENT</t>
  </si>
  <si>
    <t>2999-0000</t>
  </si>
  <si>
    <t>TOTAL LIABILITIES</t>
  </si>
  <si>
    <t>3005-0000</t>
  </si>
  <si>
    <t> CAPITAL-OWNER</t>
  </si>
  <si>
    <t>3117-0000</t>
  </si>
  <si>
    <t>3119-0000</t>
  </si>
  <si>
    <t>3120-0000</t>
  </si>
  <si>
    <t>3399-0001</t>
  </si>
  <si>
    <t> TOTAL OWNER CAPITAL</t>
  </si>
  <si>
    <t>3399-0005</t>
  </si>
  <si>
    <t> OWNERS DRAWING</t>
  </si>
  <si>
    <t>3417-0000</t>
  </si>
  <si>
    <t>3419-0000</t>
  </si>
  <si>
    <t>3420-0000</t>
  </si>
  <si>
    <t>3800-0000</t>
  </si>
  <si>
    <t> TOTAL OWNER DRAWING</t>
  </si>
  <si>
    <t>    TOTAL ADJUSTMENTS</t>
  </si>
  <si>
    <t>    CASH FLOW</t>
  </si>
  <si>
    <t>JS RUTHERFORD LLC (rut)</t>
  </si>
  <si>
    <t>Difference</t>
  </si>
  <si>
    <t>Total Cash</t>
  </si>
  <si>
    <t>Total</t>
  </si>
  <si>
    <t>CAM - LANDSCAPING</t>
  </si>
  <si>
    <t>CAM - BUILDING SUPPLIES</t>
  </si>
  <si>
    <t>CAM - INSURANCE</t>
  </si>
  <si>
    <t>CAM - ELECTRICITY</t>
  </si>
  <si>
    <t>CAM - WATER &amp; SEWER</t>
  </si>
  <si>
    <t>MESSENGER &amp; DELIVERY</t>
  </si>
  <si>
    <t>PROFESSIONAL FEES - CONSULTANT</t>
  </si>
  <si>
    <t>ESCROW - OTHERS</t>
  </si>
  <si>
    <t>1155-0000</t>
  </si>
  <si>
    <t>CASH - OTHERS</t>
  </si>
  <si>
    <t>1136-0000</t>
  </si>
  <si>
    <t>CASH - CERTIFICATE OF DEPOSIT</t>
  </si>
  <si>
    <t>1130-0000</t>
  </si>
  <si>
    <t>CASH - MONEY MARKET</t>
  </si>
  <si>
    <t>1125-0000</t>
  </si>
  <si>
    <t>CASH - CHECKING #1</t>
  </si>
  <si>
    <t>1120-0000</t>
  </si>
  <si>
    <t>Ending Balance</t>
  </si>
  <si>
    <t>Beginning Balance</t>
  </si>
  <si>
    <t>Year to Date</t>
  </si>
  <si>
    <t>Period to Date</t>
  </si>
  <si>
    <t> TENANT SECURITY PAYABLE</t>
  </si>
  <si>
    <t>2250-0000</t>
  </si>
  <si>
    <t> ELECTRICITY</t>
  </si>
  <si>
    <t>6535-0000</t>
  </si>
  <si>
    <t> CAM - BUILDING SUPPLIES</t>
  </si>
  <si>
    <t>6255-0000</t>
  </si>
  <si>
    <t> CAM - LANDSCAPING</t>
  </si>
  <si>
    <t>6211-0000</t>
  </si>
  <si>
    <t>BUDGET TEMPLATE EXAMPLE</t>
  </si>
  <si>
    <t>ACTUAL JAN-MAR 2016</t>
  </si>
  <si>
    <t>2016 PROJECTED BUDGET</t>
  </si>
  <si>
    <t>2015 ACTUAL</t>
  </si>
  <si>
    <t>2015 BUDGET</t>
  </si>
  <si>
    <t>2016 OPERATING BUDGET - RUTHERFORD</t>
  </si>
  <si>
    <t>Base</t>
  </si>
  <si>
    <t>Total 2016</t>
  </si>
  <si>
    <t>Comments</t>
  </si>
  <si>
    <t>Total Base Rent</t>
  </si>
  <si>
    <t>RUT</t>
  </si>
  <si>
    <t>Total CAM Revenue</t>
  </si>
  <si>
    <t>Total RETAX Revenue</t>
  </si>
  <si>
    <t>Total Insurance Revenue</t>
  </si>
  <si>
    <t>Total Other Extra Revenue</t>
  </si>
  <si>
    <t>5230-0000</t>
  </si>
  <si>
    <t>Total Tenant Revenue</t>
  </si>
  <si>
    <t>Release of funds</t>
  </si>
  <si>
    <t>Category of Expense</t>
  </si>
  <si>
    <t>Property</t>
  </si>
  <si>
    <t>Account Code</t>
  </si>
  <si>
    <t>CAM - CLEANING</t>
  </si>
  <si>
    <t>CAM - PARKING LOT</t>
  </si>
  <si>
    <t>CAM - EXTERMINATION</t>
  </si>
  <si>
    <t>6225-0000</t>
  </si>
  <si>
    <t>CAM - ELEVATOR REPAIR</t>
  </si>
  <si>
    <t>6233-0000</t>
  </si>
  <si>
    <t>CAM - REPAIRS</t>
  </si>
  <si>
    <t>6235-0000</t>
  </si>
  <si>
    <t>CAM - SNOW</t>
  </si>
  <si>
    <t>CAM - RUBBISH</t>
  </si>
  <si>
    <t>6245-0000</t>
  </si>
  <si>
    <t>CAM - LICENCES &amp; PERMITS</t>
  </si>
  <si>
    <t>6250-0000</t>
  </si>
  <si>
    <t>CAM - ALARM &amp; SPRINKLER</t>
  </si>
  <si>
    <t>CAM - MANAGEMENT FEES</t>
  </si>
  <si>
    <t>6290-0000</t>
  </si>
  <si>
    <t>PLUMBING MAINTENANCE</t>
  </si>
  <si>
    <t>6400-0000</t>
  </si>
  <si>
    <t>REPAIRS - EXTERIORS</t>
  </si>
  <si>
    <t>REPAIRS HVAC, BOILER &amp; EQUIPMENT</t>
  </si>
  <si>
    <t>6430-0000</t>
  </si>
  <si>
    <t>SECURITY SERVICES - OUTSIDE</t>
  </si>
  <si>
    <t>6450-0000</t>
  </si>
  <si>
    <t>TAXES - REAL ESTATE</t>
  </si>
  <si>
    <t>TAXES - OTHER</t>
  </si>
  <si>
    <t>LICENCES &amp; PERMITS</t>
  </si>
  <si>
    <t>FINES &amp; VIOLATIONS</t>
  </si>
  <si>
    <t>6525-0000</t>
  </si>
  <si>
    <t>ADTERTISING EXPENSES</t>
  </si>
  <si>
    <t>6530-0000</t>
  </si>
  <si>
    <t>TELEPHONE</t>
  </si>
  <si>
    <t>6550-0000</t>
  </si>
  <si>
    <t>BANK CHARGES</t>
  </si>
  <si>
    <t>6565-0000</t>
  </si>
  <si>
    <t>PROFESSIONAL &amp; LEGAL FEES</t>
  </si>
  <si>
    <t>PROFESSIONAL ACCOUNTING FEES</t>
  </si>
  <si>
    <t>BROKERS COMMISSION</t>
  </si>
  <si>
    <t>CHARITABLE</t>
  </si>
  <si>
    <t>6630-0000</t>
  </si>
  <si>
    <t>OFFICE AUTO &amp; LOCAL FARE</t>
  </si>
  <si>
    <t>7120-0000</t>
  </si>
  <si>
    <t>OFFICE CAR INSURANCE</t>
  </si>
  <si>
    <t>OFFICE COMPUTER EXPENSE</t>
  </si>
  <si>
    <t>OFFICE HOLIDAY EXPENSE</t>
  </si>
  <si>
    <t>7315-0000</t>
  </si>
  <si>
    <t>OFFICE CHARITABLE</t>
  </si>
  <si>
    <t>OFFICE SUPPLIES</t>
  </si>
  <si>
    <t>7420-0000</t>
  </si>
  <si>
    <t>OFFICE POSTAGE</t>
  </si>
  <si>
    <t>MISCELLANEOUS</t>
  </si>
  <si>
    <t>Total Operating Expenses</t>
  </si>
  <si>
    <t>CAM Only</t>
  </si>
  <si>
    <t>Reserves/Contingency</t>
  </si>
  <si>
    <t>Net Operating Income</t>
  </si>
  <si>
    <t>Principal Payments</t>
  </si>
  <si>
    <t>2105-0000</t>
  </si>
  <si>
    <t>Interest Payments</t>
  </si>
  <si>
    <t>Net Cash After Principal &amp; Interest</t>
  </si>
  <si>
    <t>Broker's Commission</t>
  </si>
  <si>
    <t>Building Improvements</t>
  </si>
  <si>
    <t>Tenant Improvements</t>
  </si>
  <si>
    <t>1740-0000</t>
  </si>
  <si>
    <t>Capital Distributions</t>
  </si>
  <si>
    <t>Net Cash After Capital Distributions</t>
  </si>
  <si>
    <t>Real Estate Tax Escrow</t>
  </si>
  <si>
    <t>Cash Balance Beginning of Month</t>
  </si>
  <si>
    <t>Cash Balance End of Month</t>
  </si>
  <si>
    <t>hard coded - actual from Yardi</t>
  </si>
  <si>
    <t>To reserve in account</t>
  </si>
  <si>
    <t>Allowable Distribution</t>
  </si>
  <si>
    <t>2016 PROJECTED TOTAL BUDGET</t>
  </si>
  <si>
    <t>Period</t>
  </si>
  <si>
    <t>Payment</t>
  </si>
  <si>
    <t>Principal</t>
  </si>
  <si>
    <t>Interest</t>
  </si>
  <si>
    <t>Cumulative Principal</t>
  </si>
  <si>
    <t>Cumulative Interest</t>
  </si>
  <si>
    <t>Projected Inflation 2016</t>
  </si>
  <si>
    <t xml:space="preserve">Property value increase, </t>
  </si>
  <si>
    <t>Sunrise Tae Kwon Do</t>
  </si>
  <si>
    <t>Size</t>
  </si>
  <si>
    <t>Price PSF</t>
  </si>
  <si>
    <t>NA</t>
  </si>
  <si>
    <t>Loan Amount</t>
  </si>
  <si>
    <t>Interest Rate</t>
  </si>
  <si>
    <t>Total Cost</t>
  </si>
  <si>
    <t>Annual Payments</t>
  </si>
  <si>
    <t>Payments</t>
  </si>
  <si>
    <t>April 2016 Charge</t>
  </si>
  <si>
    <t>May 2016 Charge</t>
  </si>
  <si>
    <t>Quest Diagnostics</t>
  </si>
  <si>
    <t>Months</t>
  </si>
  <si>
    <t>May 2016 charge</t>
  </si>
  <si>
    <t>Vacancy 3</t>
  </si>
  <si>
    <t>June 2016 Charge</t>
  </si>
  <si>
    <t>Dunkin Donuts</t>
  </si>
  <si>
    <t>Owed (April)</t>
  </si>
  <si>
    <t>LQ Laundry of Rutherford, LLC Rent Schedule and Broker Payments</t>
  </si>
  <si>
    <t>BROKER CHARGES BY MONTH 2016 PROJECTED</t>
  </si>
  <si>
    <t>7/4/15-7/3/16</t>
  </si>
  <si>
    <t>7/4/16-7/3/17</t>
  </si>
  <si>
    <t>7/4/17-7/3/18</t>
  </si>
  <si>
    <t>TOTAL</t>
  </si>
  <si>
    <t>7/4/18-7/3/19</t>
  </si>
  <si>
    <t>7/4/19-7/3/20</t>
  </si>
  <si>
    <t>SONIC SUDS</t>
  </si>
  <si>
    <t>7/4/20-7/3/21</t>
  </si>
  <si>
    <t>CENTURY 21</t>
  </si>
  <si>
    <t>7/4/21-7/3/22</t>
  </si>
  <si>
    <t>DUNKIN DONUTS</t>
  </si>
  <si>
    <t>7/4/22 - 7/3/23</t>
  </si>
  <si>
    <t>SUNRISE TKD</t>
  </si>
  <si>
    <t>7/4/23-7/3/24</t>
  </si>
  <si>
    <t>SPACE 2 (QUEST)</t>
  </si>
  <si>
    <t>7/4/24 - 7/3/25</t>
  </si>
  <si>
    <t>SPACE 3</t>
  </si>
  <si>
    <t>Total 10-year rent</t>
  </si>
  <si>
    <t>Total Payments</t>
  </si>
  <si>
    <t>5% Broker Fee</t>
  </si>
  <si>
    <t>25% within 30-days of opening</t>
  </si>
  <si>
    <t>25% after 90-days after 1st installment</t>
  </si>
  <si>
    <t>25% after 180 days of 1st installment</t>
  </si>
  <si>
    <t>25% after 270 days of 1st installment</t>
  </si>
  <si>
    <t>Goldstein Group (Dunkin Donut Commission Agreement)</t>
  </si>
  <si>
    <t>1-5 Years ($47,300.00 * 5 years)</t>
  </si>
  <si>
    <t>6/10 Years ($53,212.50 * 5 years)</t>
  </si>
  <si>
    <t>25% 30 days after tenant opened for business</t>
  </si>
  <si>
    <t>1+2 of 4 pmts</t>
  </si>
  <si>
    <t>3 of 4 pmts</t>
  </si>
  <si>
    <t>4 of 4 pmts</t>
  </si>
  <si>
    <t>PROJECTED BROKER PAYMENT TIMELINE FOR DUNKIN DONUTS (PER GOLDSTEIN GROUP INVOICE - ADJUSTED FOR OPENING)</t>
  </si>
  <si>
    <t>Due Upon 30 days Commence Rent and Open Store (25%)</t>
  </si>
  <si>
    <t>Due Upon 90 days following Initial Payment (25%)</t>
  </si>
  <si>
    <t>Due Upon 180 days following Initial Payment (25%)</t>
  </si>
  <si>
    <t>Due Upon 270 Days following Initial Payment (25%)</t>
  </si>
  <si>
    <t>SUNRISE TAE KWON DO WITH RKF</t>
  </si>
  <si>
    <r>
      <t xml:space="preserve">   based on $27,945 annual rent over 5 years initital term = $139,725 X 5% = $6,986.25 X </t>
    </r>
    <r>
      <rPr>
        <b/>
        <u/>
        <sz val="11"/>
        <color theme="1"/>
        <rFont val="Calibri"/>
        <family val="2"/>
        <scheme val="minor"/>
      </rPr>
      <t>2 DEALS</t>
    </r>
    <r>
      <rPr>
        <b/>
        <sz val="11"/>
        <color theme="1"/>
        <rFont val="Calibri"/>
        <family val="2"/>
        <scheme val="minor"/>
      </rPr>
      <t xml:space="preserve"> =$30,000</t>
    </r>
  </si>
  <si>
    <t>Year 1 Rent</t>
  </si>
  <si>
    <t>Year 2 Rent</t>
  </si>
  <si>
    <t>Year 3 Rent</t>
  </si>
  <si>
    <t>Year 4 Rent</t>
  </si>
  <si>
    <t>Year 5 Rent</t>
  </si>
  <si>
    <t>5% Commission</t>
  </si>
  <si>
    <t>50% due at opening</t>
  </si>
  <si>
    <t>Projected</t>
  </si>
  <si>
    <t>50% due six months after opening</t>
  </si>
  <si>
    <t>SPACE 2 (QUEST DIAGNOSTICS) WITH RIPCO</t>
  </si>
  <si>
    <t>Square feet</t>
  </si>
  <si>
    <t>Rent PSF</t>
  </si>
  <si>
    <t>25% Due 45 days after opening, payment of rent and conditions met</t>
  </si>
  <si>
    <t>25% due 90 days following initial payment</t>
  </si>
  <si>
    <t>25% due 135 days after initial payment</t>
  </si>
  <si>
    <t>25% due 180 days after initial payment</t>
  </si>
  <si>
    <t>SPACE3 WITH RIPCO</t>
  </si>
  <si>
    <t xml:space="preserve">   based on $30,360 annual rent over 5 years initital term = $151,800 X 5% = $7,590</t>
  </si>
  <si>
    <t>BASE RENTAL CHARGES</t>
  </si>
  <si>
    <t>Tenant Name</t>
  </si>
  <si>
    <t>Sq Ft</t>
  </si>
  <si>
    <t>Total 2015</t>
  </si>
  <si>
    <t>RCD 9/15/16</t>
  </si>
  <si>
    <t>RCD 11/1/16</t>
  </si>
  <si>
    <t>RCD 5/17/16</t>
  </si>
  <si>
    <t>Total Rent Revenue</t>
  </si>
  <si>
    <t>CAM CHARGES</t>
  </si>
  <si>
    <t>REAL ESTATE TAX CHARGES</t>
  </si>
  <si>
    <t>INSURANCE CHARGES</t>
  </si>
  <si>
    <t> CAM - MANAGEMENT FEES</t>
  </si>
  <si>
    <t> CAM-REPAIRS</t>
  </si>
  <si>
    <t> OFFICE- AUTO &amp; LOCAL FARE</t>
  </si>
  <si>
    <t xml:space="preserve"> MORTGAGE PAYABLE #1</t>
  </si>
  <si>
    <t xml:space="preserve"> TENANT IMPROVEMENT</t>
  </si>
  <si>
    <t xml:space="preserve"> RESERVE/CONTINGENCY</t>
  </si>
  <si>
    <t xml:space="preserve"> RELEASE FUNDS</t>
  </si>
  <si>
    <t>CASH BALANCE - BEGINNING OF MONTH</t>
  </si>
  <si>
    <t>CASH BALANCE - END OF MONTH</t>
  </si>
  <si>
    <t>EAST WINDSOR</t>
  </si>
  <si>
    <t>2017 Projected Budget</t>
  </si>
  <si>
    <t>Bollywood Salon</t>
  </si>
  <si>
    <t>Gold's Gym</t>
  </si>
  <si>
    <t>Green Health Massage</t>
  </si>
  <si>
    <t>Pulte</t>
  </si>
  <si>
    <t>TLE Learning Center</t>
  </si>
  <si>
    <t>Via Roma</t>
  </si>
  <si>
    <t>Windsor Dry Cleaner</t>
  </si>
  <si>
    <t>BASE RENT EAST WINDSOR CROSSING LLC</t>
  </si>
  <si>
    <t>Column16</t>
  </si>
  <si>
    <t>Column17</t>
  </si>
  <si>
    <t>Column18</t>
  </si>
  <si>
    <t>Column19</t>
  </si>
  <si>
    <t>WIN</t>
  </si>
  <si>
    <t>Patidar Cash and Carry</t>
  </si>
  <si>
    <t>Bold Eagle/Edible Arrangements</t>
  </si>
  <si>
    <t>Learning Step Kumon</t>
  </si>
  <si>
    <t>Assumes rent reduction stays in effect now through 2015</t>
  </si>
  <si>
    <t>Hot Peppers SKP Indian Rest</t>
  </si>
  <si>
    <t>Sprint</t>
  </si>
  <si>
    <t>Based on $12 psf LOI</t>
  </si>
  <si>
    <t>Vacant 119</t>
  </si>
  <si>
    <t>Mahzu</t>
  </si>
  <si>
    <t>NYC Community Bankcorp</t>
  </si>
  <si>
    <t>Per original lease in year 8 rent should go up to 15,225 mo</t>
  </si>
  <si>
    <t>RDG Custom</t>
  </si>
  <si>
    <t>*Patidar Cash and Carry will be paying rent on what was formerly three spaces starting in May 2016.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</si>
  <si>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</si>
  <si>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</si>
  <si>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</si>
  <si>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</si>
  <si>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</si>
  <si>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</si>
  <si>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</si>
  <si>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</si>
  <si>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</si>
  <si>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</si>
  <si>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</si>
  <si>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</si>
  <si>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PSF</t>
  </si>
  <si>
    <t>Five Star Alliance</t>
  </si>
  <si>
    <t xml:space="preserve">2017 OPERATING BUDGET </t>
  </si>
  <si>
    <t>2017 OPERATING BUDGET</t>
  </si>
  <si>
    <t xml:space="preserve"> </t>
  </si>
  <si>
    <t>2017 PROJECTED TOTAL BUDGET</t>
  </si>
  <si>
    <t> CAM- EXTERMINATOR</t>
  </si>
  <si>
    <t>*Please note this spreadsheet for informational purposes only.  The swap and loan invoices are People's United official payment notices.</t>
  </si>
  <si>
    <t>As of:</t>
  </si>
  <si>
    <t>If you have any questions please call Derivative Sales at 203.338.2156</t>
  </si>
  <si>
    <t>Beginning Balance:</t>
  </si>
  <si>
    <t>Transaction Type</t>
  </si>
  <si>
    <t>Amortizing Swap</t>
  </si>
  <si>
    <t>Swap Trade Date</t>
  </si>
  <si>
    <t>Term</t>
  </si>
  <si>
    <t>7 Years</t>
  </si>
  <si>
    <t>Swap Effective Date</t>
  </si>
  <si>
    <t>Type</t>
  </si>
  <si>
    <t>Fixed Swap vs. 1 month LIBOR</t>
  </si>
  <si>
    <t>Swap Termination Date</t>
  </si>
  <si>
    <t>Payment Dates</t>
  </si>
  <si>
    <t>Monthly on 1st good business day of month, Following Business Day Convention</t>
  </si>
  <si>
    <t>Borrower  Pays:</t>
  </si>
  <si>
    <t>Swap First Payment Date</t>
  </si>
  <si>
    <t>Fixed Swap rate</t>
  </si>
  <si>
    <t xml:space="preserve"> plus floating rate loan's spread</t>
  </si>
  <si>
    <t>Monthly All-in Borrowing Rate</t>
  </si>
  <si>
    <t>Payment number</t>
  </si>
  <si>
    <t xml:space="preserve">            Accrual Period</t>
  </si>
  <si>
    <t>Principal payment last day accrual</t>
  </si>
  <si>
    <t># of Days Accrual Period</t>
  </si>
  <si>
    <t>Net Interest Payment</t>
  </si>
  <si>
    <t>Total Principal and Interest</t>
  </si>
  <si>
    <t xml:space="preserve"> DRAWING - ISAAC S. JEMAL</t>
  </si>
  <si>
    <t xml:space="preserve"> DRAWING - JOSEPH I. JEMAL</t>
  </si>
  <si>
    <t xml:space="preserve"> DRAWING - SAMUEL I. JEMAL</t>
  </si>
  <si>
    <t xml:space="preserve"> CAPITAL - ISAAC JEMAL</t>
  </si>
  <si>
    <t xml:space="preserve"> CAPITAL - JOSEPH I. JEMAL</t>
  </si>
  <si>
    <t xml:space="preserve"> CAPITAL - SAMUEL I. JEMAL</t>
  </si>
  <si>
    <t>   RECEIVABLES</t>
  </si>
  <si>
    <t> CAM- ELEVATOR REPAIR</t>
  </si>
  <si>
    <t> TELEPHONE</t>
  </si>
  <si>
    <t>LED Retrofit Parking Lot</t>
  </si>
  <si>
    <t>Project</t>
  </si>
  <si>
    <t>Description</t>
  </si>
  <si>
    <t>Area</t>
  </si>
  <si>
    <t>Year</t>
  </si>
  <si>
    <t>Expected Cost</t>
  </si>
  <si>
    <t>Capital/CAM</t>
  </si>
  <si>
    <t>Potential Resource/Vendor</t>
  </si>
  <si>
    <t>Target Start Date</t>
  </si>
  <si>
    <t>Additional Sign on Route 33</t>
  </si>
  <si>
    <t>Under the municipal guidelines, we can obtain approval for an additional pylon sign along Route 33 without a variance</t>
  </si>
  <si>
    <t>Improvement</t>
  </si>
  <si>
    <t>CAP</t>
  </si>
  <si>
    <t>Any Sign Company</t>
  </si>
  <si>
    <t>LED Retrofit of Pole Lighting throughout property</t>
  </si>
  <si>
    <t>YESCO, Broadway Lighting</t>
  </si>
  <si>
    <t>Service Area Paving</t>
  </si>
  <si>
    <t>Paving of the delivery and service areas of the shopping center</t>
  </si>
  <si>
    <t>Parking Lot</t>
  </si>
  <si>
    <t>C&amp;L</t>
  </si>
  <si>
    <t> CAM - RUBBISH REMOVAL</t>
  </si>
  <si>
    <t>Total Allowance for Doubtful Accounts</t>
  </si>
  <si>
    <t>ALLOWANCE FOR DOUBTFUL ACCOUNTS</t>
  </si>
  <si>
    <t>Adjusted Cashflow</t>
  </si>
  <si>
    <t>Meet at 8%</t>
  </si>
  <si>
    <t>Grand Total</t>
  </si>
  <si>
    <t>Samuel I. Jemal</t>
  </si>
  <si>
    <t>Joseph I. Jemal</t>
  </si>
  <si>
    <t>Isaac Jemal</t>
  </si>
  <si>
    <t>Monthly</t>
  </si>
  <si>
    <t>Annual</t>
  </si>
  <si>
    <t>Investors</t>
  </si>
  <si>
    <t>Current Capital</t>
  </si>
  <si>
    <t>%-ownership</t>
  </si>
  <si>
    <t>GL</t>
  </si>
  <si>
    <t>NJ WITHHELD FROM CAPITAL DISTRIBUTION</t>
  </si>
  <si>
    <t>6216-0000</t>
  </si>
  <si>
    <t> CAM- LIGHTING</t>
  </si>
  <si>
    <t>5% increase on the 2016 actual</t>
  </si>
  <si>
    <t>Round up to nearest 100 based on actual 2016</t>
  </si>
  <si>
    <t>TO BE APPLIED AT THE END</t>
  </si>
  <si>
    <t>Irvington Plaza</t>
  </si>
  <si>
    <t>Shin Vee Corp</t>
  </si>
  <si>
    <t>IRV</t>
  </si>
  <si>
    <t>Beat Street</t>
  </si>
  <si>
    <t>Salvation Army</t>
  </si>
  <si>
    <t>DICI Beauty</t>
  </si>
  <si>
    <t>Simply Wireless</t>
  </si>
  <si>
    <t>Veekay Inc. Vacant</t>
  </si>
  <si>
    <t>Techni Hair Vacant</t>
  </si>
  <si>
    <t>2017 OPERATING BUDGET - IRVINGTON</t>
  </si>
  <si>
    <t>Cricket Wireless</t>
  </si>
  <si>
    <t>6210-0000</t>
  </si>
  <si>
    <t> CAM - PLUMBING MAINTENANCE</t>
  </si>
  <si>
    <t>6237-0000</t>
  </si>
  <si>
    <t> CAM - HVAC REPAIR</t>
  </si>
  <si>
    <t> OFFICE-SUPPLIES</t>
  </si>
  <si>
    <t>reduced by 28% due to CRS SF increase</t>
  </si>
  <si>
    <t>Beat Street - TAX</t>
  </si>
  <si>
    <t>3449-0000</t>
  </si>
  <si>
    <t xml:space="preserve"> DRAWING - GRS CHILDREN LLC</t>
  </si>
  <si>
    <t>GRS CHILDREN LLC</t>
  </si>
  <si>
    <t>Based on 2016 Actual</t>
  </si>
  <si>
    <t>3148-0000</t>
  </si>
  <si>
    <t xml:space="preserve"> CAPITAL - GRS CHILDREN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</si>
</sst>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[$-409]mmm\-yy;@"/>
    <numFmt numFmtId="166" formatCode="mm/dd/yy;@"/>
    <numFmt numFmtId="167" formatCode="0.000%"/>
    <numFmt numFmtId="168" formatCode="[$-409]mmmm\-yy;@"/>
    <numFmt numFmtId="169" formatCode="&quot;$&quot;#,##0"/>
    <numFmt numFmtId="170" formatCode="mm/dd/yy"/>
    <numFmt numFmtId="171" formatCode="_(&quot;$&quot;* #,##0.00_);_(&quot;$&quot;* \(#,##0.00\);_(&quot;$&quot;* &quot;-&quot;???_);_(@_)"/>
    <numFmt numFmtId="174" formatCode="_(* #,##0_);_(* \(#,##0\);_(* &quot;-&quot;??_);_(@_)"/>
    <numFmt numFmtId="176" formatCode="0.000000000000000%"/>
    <numFmt numFmtId="178" formatCode="#,##0.0000_);[Red]\(#,##0.0000\)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color rgb="FF505050"/>
      <name val="Verdana"/>
      <family val="2"/>
    </font>
    <font>
      <b/>
      <sz val="12"/>
      <color theme="1"/>
      <name val="Verdana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4" tint="-0.249977111117893"/>
      <name val="Calibri"/>
      <family val="2"/>
    </font>
    <font>
      <b/>
      <sz val="11"/>
      <color theme="1"/>
      <name val="Calibri"/>
      <family val="2"/>
    </font>
    <font>
      <b/>
      <sz val="11"/>
      <color theme="4" tint="-0.249977111117893"/>
      <name val="Calibri"/>
      <family val="2"/>
    </font>
    <font>
      <b/>
      <sz val="12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505050"/>
      <name val="Verdana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MS Sans Serif"/>
      <family val="2"/>
    </font>
    <font>
      <b/>
      <sz val="12"/>
      <color rgb="FF505050"/>
      <name val="Verdana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Verdana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D3D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mediumGray">
        <fgColor indexed="22"/>
        <bgColor theme="0" tint="-0.249977111117893"/>
      </patternFill>
    </fill>
    <fill>
      <patternFill patternType="mediumGray">
        <fgColor indexed="22"/>
        <bgColor indexed="22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rgb="FFFF2F2F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vertical="top"/>
    </xf>
    <xf numFmtId="0" fontId="23" fillId="0" borderId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8">
    <xf numFmtId="0" fontId="0" fillId="0" borderId="0" xfId="0"/>
    <xf numFmtId="0" fontId="19" fillId="0" borderId="0" xfId="0" applyFont="1" applyAlignment="1">
      <alignment horizontal="center"/>
    </xf>
    <xf numFmtId="4" fontId="20" fillId="0" borderId="0" xfId="0" applyNumberFormat="1" applyFont="1" applyAlignment="1">
      <alignment horizontal="right"/>
    </xf>
    <xf numFmtId="0" fontId="20" fillId="0" borderId="0" xfId="0" applyFont="1" applyAlignment="1">
      <alignment horizontal="left"/>
    </xf>
    <xf numFmtId="4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4" fontId="19" fillId="0" borderId="11" xfId="0" applyNumberFormat="1" applyFont="1" applyBorder="1" applyAlignment="1">
      <alignment horizontal="right"/>
    </xf>
    <xf numFmtId="0" fontId="19" fillId="0" borderId="0" xfId="0" applyFont="1" applyAlignment="1">
      <alignment horizontal="right"/>
    </xf>
    <xf numFmtId="0" fontId="20" fillId="33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6" fillId="0" borderId="0" xfId="44" applyFont="1"/>
    <xf numFmtId="0" fontId="24" fillId="0" borderId="0" xfId="44" applyFont="1" applyAlignment="1">
      <alignment horizontal="center"/>
    </xf>
    <xf numFmtId="164" fontId="24" fillId="0" borderId="12" xfId="45" applyNumberFormat="1" applyFont="1" applyBorder="1" applyAlignment="1">
      <alignment horizontal="center"/>
    </xf>
    <xf numFmtId="164" fontId="24" fillId="0" borderId="0" xfId="45" applyNumberFormat="1" applyFont="1"/>
    <xf numFmtId="164" fontId="24" fillId="0" borderId="13" xfId="45" applyNumberFormat="1" applyFont="1" applyBorder="1"/>
    <xf numFmtId="164" fontId="25" fillId="0" borderId="0" xfId="45" applyNumberFormat="1" applyFont="1"/>
    <xf numFmtId="0" fontId="24" fillId="0" borderId="0" xfId="44" applyFont="1"/>
    <xf numFmtId="165" fontId="26" fillId="0" borderId="0" xfId="44" applyNumberFormat="1" applyFont="1" applyAlignment="1">
      <alignment horizontal="center"/>
    </xf>
    <xf numFmtId="165" fontId="26" fillId="0" borderId="12" xfId="45" applyNumberFormat="1" applyFont="1" applyBorder="1" applyAlignment="1">
      <alignment horizontal="center"/>
    </xf>
    <xf numFmtId="165" fontId="26" fillId="0" borderId="0" xfId="45" applyNumberFormat="1" applyFont="1" applyAlignment="1">
      <alignment horizontal="center"/>
    </xf>
    <xf numFmtId="165" fontId="26" fillId="0" borderId="13" xfId="45" quotePrefix="1" applyNumberFormat="1" applyFont="1" applyBorder="1" applyAlignment="1">
      <alignment horizontal="center"/>
    </xf>
    <xf numFmtId="0" fontId="27" fillId="0" borderId="0" xfId="45" applyNumberFormat="1" applyFont="1" applyAlignment="1">
      <alignment horizontal="center"/>
    </xf>
    <xf numFmtId="0" fontId="1" fillId="34" borderId="0" xfId="44" applyFont="1" applyFill="1"/>
    <xf numFmtId="0" fontId="1" fillId="34" borderId="0" xfId="44" applyFont="1" applyFill="1" applyAlignment="1">
      <alignment horizontal="center"/>
    </xf>
    <xf numFmtId="164" fontId="1" fillId="34" borderId="12" xfId="45" applyNumberFormat="1" applyFont="1" applyFill="1" applyBorder="1" applyAlignment="1">
      <alignment horizontal="center"/>
    </xf>
    <xf numFmtId="164" fontId="24" fillId="34" borderId="0" xfId="45" applyNumberFormat="1" applyFont="1" applyFill="1"/>
    <xf numFmtId="164" fontId="24" fillId="34" borderId="13" xfId="45" applyNumberFormat="1" applyFont="1" applyFill="1" applyBorder="1"/>
    <xf numFmtId="164" fontId="25" fillId="34" borderId="0" xfId="45" applyNumberFormat="1" applyFont="1" applyFill="1"/>
    <xf numFmtId="0" fontId="24" fillId="34" borderId="0" xfId="44" applyFont="1" applyFill="1"/>
    <xf numFmtId="0" fontId="1" fillId="0" borderId="0" xfId="44" applyFont="1"/>
    <xf numFmtId="0" fontId="1" fillId="0" borderId="0" xfId="44" applyFont="1" applyAlignment="1">
      <alignment horizontal="center"/>
    </xf>
    <xf numFmtId="164" fontId="1" fillId="0" borderId="12" xfId="45" applyNumberFormat="1" applyFont="1" applyBorder="1" applyAlignment="1">
      <alignment horizontal="center"/>
    </xf>
    <xf numFmtId="0" fontId="26" fillId="35" borderId="0" xfId="44" applyFont="1" applyFill="1"/>
    <xf numFmtId="0" fontId="26" fillId="35" borderId="0" xfId="44" applyFont="1" applyFill="1" applyAlignment="1">
      <alignment horizontal="center"/>
    </xf>
    <xf numFmtId="164" fontId="26" fillId="35" borderId="12" xfId="45" applyNumberFormat="1" applyFont="1" applyFill="1" applyBorder="1" applyAlignment="1">
      <alignment horizontal="center"/>
    </xf>
    <xf numFmtId="164" fontId="26" fillId="35" borderId="0" xfId="45" applyNumberFormat="1" applyFont="1" applyFill="1"/>
    <xf numFmtId="164" fontId="26" fillId="35" borderId="13" xfId="45" applyNumberFormat="1" applyFont="1" applyFill="1" applyBorder="1"/>
    <xf numFmtId="164" fontId="27" fillId="35" borderId="0" xfId="45" applyNumberFormat="1" applyFont="1" applyFill="1"/>
    <xf numFmtId="0" fontId="24" fillId="35" borderId="0" xfId="44" applyFont="1" applyFill="1" applyAlignment="1">
      <alignment horizontal="center"/>
    </xf>
    <xf numFmtId="164" fontId="24" fillId="35" borderId="12" xfId="45" applyNumberFormat="1" applyFont="1" applyFill="1" applyBorder="1" applyAlignment="1">
      <alignment horizontal="center"/>
    </xf>
    <xf numFmtId="164" fontId="24" fillId="35" borderId="0" xfId="45" applyNumberFormat="1" applyFont="1" applyFill="1"/>
    <xf numFmtId="164" fontId="24" fillId="35" borderId="13" xfId="45" applyNumberFormat="1" applyFont="1" applyFill="1" applyBorder="1"/>
    <xf numFmtId="164" fontId="25" fillId="35" borderId="0" xfId="45" applyNumberFormat="1" applyFont="1" applyFill="1"/>
    <xf numFmtId="0" fontId="24" fillId="35" borderId="0" xfId="44" applyFont="1" applyFill="1"/>
    <xf numFmtId="0" fontId="26" fillId="34" borderId="0" xfId="44" applyFont="1" applyFill="1" applyAlignment="1">
      <alignment horizontal="center"/>
    </xf>
    <xf numFmtId="164" fontId="26" fillId="34" borderId="12" xfId="45" applyNumberFormat="1" applyFont="1" applyFill="1" applyBorder="1" applyAlignment="1">
      <alignment horizontal="center"/>
    </xf>
    <xf numFmtId="0" fontId="24" fillId="34" borderId="0" xfId="44" applyFont="1" applyFill="1" applyAlignment="1">
      <alignment horizontal="center"/>
    </xf>
    <xf numFmtId="164" fontId="24" fillId="34" borderId="12" xfId="45" applyNumberFormat="1" applyFont="1" applyFill="1" applyBorder="1" applyAlignment="1">
      <alignment horizontal="center"/>
    </xf>
    <xf numFmtId="164" fontId="26" fillId="35" borderId="0" xfId="45" applyNumberFormat="1" applyFont="1" applyFill="1" applyAlignment="1">
      <alignment horizontal="center"/>
    </xf>
    <xf numFmtId="164" fontId="28" fillId="0" borderId="0" xfId="45" applyNumberFormat="1" applyFont="1"/>
    <xf numFmtId="164" fontId="24" fillId="0" borderId="0" xfId="45" applyNumberFormat="1" applyFont="1" applyAlignment="1">
      <alignment horizontal="right"/>
    </xf>
    <xf numFmtId="44" fontId="24" fillId="0" borderId="0" xfId="45" applyNumberFormat="1" applyFont="1"/>
    <xf numFmtId="0" fontId="1" fillId="0" borderId="0" xfId="44" applyFont="1" applyFill="1"/>
    <xf numFmtId="0" fontId="1" fillId="0" borderId="0" xfId="44" applyFont="1" applyFill="1" applyAlignment="1">
      <alignment horizontal="center" vertical="center" wrapText="1"/>
    </xf>
    <xf numFmtId="166" fontId="1" fillId="0" borderId="0" xfId="44" applyNumberFormat="1" applyFont="1" applyFill="1" applyAlignment="1">
      <alignment horizontal="center" vertical="center" wrapText="1"/>
    </xf>
    <xf numFmtId="44" fontId="1" fillId="0" borderId="0" xfId="45" applyFont="1" applyFill="1" applyAlignment="1">
      <alignment horizontal="center" vertical="center" wrapText="1"/>
    </xf>
    <xf numFmtId="10" fontId="1" fillId="35" borderId="0" xfId="46" applyNumberFormat="1" applyFont="1" applyFill="1"/>
    <xf numFmtId="0" fontId="1" fillId="0" borderId="0" xfId="44" applyFont="1" applyFill="1" applyAlignment="1">
      <alignment horizontal="center"/>
    </xf>
    <xf numFmtId="166" fontId="1" fillId="0" borderId="0" xfId="44" applyNumberFormat="1" applyFont="1" applyFill="1"/>
    <xf numFmtId="44" fontId="1" fillId="0" borderId="0" xfId="44" applyNumberFormat="1" applyFont="1" applyFill="1"/>
    <xf numFmtId="44" fontId="1" fillId="0" borderId="0" xfId="45" applyFont="1" applyFill="1"/>
    <xf numFmtId="44" fontId="1" fillId="35" borderId="0" xfId="45" applyFont="1" applyFill="1"/>
    <xf numFmtId="0" fontId="16" fillId="0" borderId="14" xfId="44" applyFont="1" applyFill="1" applyBorder="1"/>
    <xf numFmtId="0" fontId="1" fillId="0" borderId="15" xfId="44" applyFont="1" applyFill="1" applyBorder="1"/>
    <xf numFmtId="0" fontId="1" fillId="0" borderId="13" xfId="44" applyFont="1" applyFill="1" applyBorder="1"/>
    <xf numFmtId="3" fontId="1" fillId="0" borderId="12" xfId="44" applyNumberFormat="1" applyFont="1" applyFill="1" applyBorder="1"/>
    <xf numFmtId="0" fontId="1" fillId="0" borderId="12" xfId="44" applyFont="1" applyFill="1" applyBorder="1"/>
    <xf numFmtId="0" fontId="1" fillId="0" borderId="0" xfId="44" applyFont="1" applyBorder="1"/>
    <xf numFmtId="44" fontId="1" fillId="0" borderId="0" xfId="45" applyFont="1" applyBorder="1"/>
    <xf numFmtId="167" fontId="1" fillId="0" borderId="0" xfId="46" applyNumberFormat="1" applyFont="1" applyBorder="1"/>
    <xf numFmtId="44" fontId="1" fillId="0" borderId="12" xfId="45" applyFont="1" applyFill="1" applyBorder="1"/>
    <xf numFmtId="0" fontId="1" fillId="0" borderId="16" xfId="44" applyFont="1" applyFill="1" applyBorder="1"/>
    <xf numFmtId="44" fontId="1" fillId="0" borderId="17" xfId="45" applyFont="1" applyFill="1" applyBorder="1"/>
    <xf numFmtId="0" fontId="16" fillId="0" borderId="14" xfId="44" applyFont="1" applyFill="1" applyBorder="1" applyAlignment="1">
      <alignment horizontal="center" vertical="center" wrapText="1"/>
    </xf>
    <xf numFmtId="44" fontId="1" fillId="0" borderId="15" xfId="45" applyFont="1" applyFill="1" applyBorder="1" applyAlignment="1">
      <alignment horizontal="center" vertical="center" wrapText="1"/>
    </xf>
    <xf numFmtId="37" fontId="1" fillId="0" borderId="12" xfId="45" applyNumberFormat="1" applyFont="1" applyFill="1" applyBorder="1"/>
    <xf numFmtId="0" fontId="1" fillId="35" borderId="0" xfId="44" applyFont="1" applyFill="1"/>
    <xf numFmtId="8" fontId="1" fillId="35" borderId="0" xfId="44" applyNumberFormat="1" applyFont="1" applyFill="1"/>
    <xf numFmtId="0" fontId="1" fillId="0" borderId="0" xfId="44" applyFont="1" applyFill="1" applyBorder="1" applyAlignment="1">
      <alignment horizontal="center"/>
    </xf>
    <xf numFmtId="44" fontId="1" fillId="0" borderId="0" xfId="44" applyNumberFormat="1" applyFont="1" applyFill="1" applyBorder="1"/>
    <xf numFmtId="44" fontId="1" fillId="0" borderId="0" xfId="45" applyFont="1" applyFill="1" applyBorder="1"/>
    <xf numFmtId="44" fontId="1" fillId="0" borderId="12" xfId="44" applyNumberFormat="1" applyFont="1" applyFill="1" applyBorder="1"/>
    <xf numFmtId="44" fontId="1" fillId="0" borderId="17" xfId="44" applyNumberFormat="1" applyFont="1" applyFill="1" applyBorder="1"/>
    <xf numFmtId="0" fontId="1" fillId="0" borderId="0" xfId="44" applyFont="1" applyFill="1" applyBorder="1"/>
    <xf numFmtId="166" fontId="1" fillId="0" borderId="0" xfId="44" applyNumberFormat="1" applyFont="1" applyFill="1" applyBorder="1"/>
    <xf numFmtId="16" fontId="29" fillId="0" borderId="0" xfId="44" applyNumberFormat="1" applyFont="1" applyAlignment="1">
      <alignment vertical="center"/>
    </xf>
    <xf numFmtId="44" fontId="1" fillId="0" borderId="0" xfId="45" applyFont="1"/>
    <xf numFmtId="44" fontId="1" fillId="0" borderId="0" xfId="44" applyNumberFormat="1" applyFont="1"/>
    <xf numFmtId="168" fontId="29" fillId="0" borderId="0" xfId="44" applyNumberFormat="1" applyFont="1" applyAlignment="1">
      <alignment horizontal="center" vertical="center"/>
    </xf>
    <xf numFmtId="0" fontId="29" fillId="0" borderId="0" xfId="44" applyFont="1" applyAlignment="1">
      <alignment horizontal="center" vertical="center"/>
    </xf>
    <xf numFmtId="169" fontId="1" fillId="0" borderId="0" xfId="44" applyNumberFormat="1" applyFont="1"/>
    <xf numFmtId="44" fontId="30" fillId="0" borderId="0" xfId="44" applyNumberFormat="1" applyFont="1"/>
    <xf numFmtId="14" fontId="1" fillId="0" borderId="0" xfId="44" applyNumberFormat="1" applyFont="1" applyAlignment="1">
      <alignment horizontal="center"/>
    </xf>
    <xf numFmtId="9" fontId="1" fillId="0" borderId="0" xfId="44" applyNumberFormat="1" applyFont="1"/>
    <xf numFmtId="44" fontId="16" fillId="0" borderId="18" xfId="45" applyFont="1" applyBorder="1"/>
    <xf numFmtId="14" fontId="1" fillId="0" borderId="0" xfId="44" applyNumberFormat="1" applyFont="1"/>
    <xf numFmtId="44" fontId="16" fillId="0" borderId="0" xfId="44" applyNumberFormat="1" applyFont="1"/>
    <xf numFmtId="14" fontId="16" fillId="0" borderId="0" xfId="44" applyNumberFormat="1" applyFont="1"/>
    <xf numFmtId="44" fontId="30" fillId="0" borderId="0" xfId="45" applyFont="1"/>
    <xf numFmtId="16" fontId="1" fillId="0" borderId="0" xfId="44" applyNumberFormat="1" applyFont="1"/>
    <xf numFmtId="3" fontId="1" fillId="0" borderId="0" xfId="44" applyNumberFormat="1" applyFont="1" applyAlignment="1">
      <alignment horizontal="center"/>
    </xf>
    <xf numFmtId="164" fontId="1" fillId="0" borderId="0" xfId="45" applyNumberFormat="1" applyFont="1"/>
    <xf numFmtId="0" fontId="16" fillId="0" borderId="0" xfId="44" applyFont="1" applyAlignment="1">
      <alignment horizontal="center"/>
    </xf>
    <xf numFmtId="3" fontId="16" fillId="0" borderId="0" xfId="44" applyNumberFormat="1" applyFont="1" applyAlignment="1">
      <alignment horizontal="center"/>
    </xf>
    <xf numFmtId="165" fontId="16" fillId="0" borderId="0" xfId="45" applyNumberFormat="1" applyFont="1" applyAlignment="1">
      <alignment horizontal="center"/>
    </xf>
    <xf numFmtId="164" fontId="16" fillId="0" borderId="0" xfId="45" applyNumberFormat="1" applyFont="1" applyAlignment="1">
      <alignment horizontal="center"/>
    </xf>
    <xf numFmtId="3" fontId="1" fillId="34" borderId="0" xfId="44" applyNumberFormat="1" applyFont="1" applyFill="1" applyAlignment="1">
      <alignment horizontal="center"/>
    </xf>
    <xf numFmtId="44" fontId="1" fillId="34" borderId="0" xfId="45" applyFont="1" applyFill="1" applyAlignment="1">
      <alignment horizontal="center"/>
    </xf>
    <xf numFmtId="164" fontId="1" fillId="34" borderId="0" xfId="45" applyNumberFormat="1" applyFont="1" applyFill="1"/>
    <xf numFmtId="44" fontId="1" fillId="0" borderId="0" xfId="45" applyFont="1" applyAlignment="1">
      <alignment horizontal="center"/>
    </xf>
    <xf numFmtId="0" fontId="31" fillId="35" borderId="0" xfId="44" applyFont="1" applyFill="1"/>
    <xf numFmtId="0" fontId="31" fillId="35" borderId="0" xfId="44" applyFont="1" applyFill="1" applyAlignment="1">
      <alignment horizontal="center"/>
    </xf>
    <xf numFmtId="3" fontId="31" fillId="35" borderId="0" xfId="44" applyNumberFormat="1" applyFont="1" applyFill="1" applyAlignment="1">
      <alignment horizontal="center"/>
    </xf>
    <xf numFmtId="164" fontId="31" fillId="35" borderId="0" xfId="45" applyNumberFormat="1" applyFont="1" applyFill="1"/>
    <xf numFmtId="164" fontId="1" fillId="0" borderId="0" xfId="45" applyNumberFormat="1" applyFont="1" applyFill="1"/>
    <xf numFmtId="0" fontId="16" fillId="35" borderId="0" xfId="44" applyFont="1" applyFill="1"/>
    <xf numFmtId="0" fontId="16" fillId="35" borderId="0" xfId="44" applyFont="1" applyFill="1" applyAlignment="1">
      <alignment horizontal="center"/>
    </xf>
    <xf numFmtId="3" fontId="16" fillId="35" borderId="0" xfId="44" applyNumberFormat="1" applyFont="1" applyFill="1" applyAlignment="1">
      <alignment horizontal="center"/>
    </xf>
    <xf numFmtId="164" fontId="16" fillId="35" borderId="0" xfId="45" applyNumberFormat="1" applyFont="1" applyFill="1"/>
    <xf numFmtId="0" fontId="16" fillId="0" borderId="0" xfId="0" applyFont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44" fontId="1" fillId="0" borderId="0" xfId="47" applyFont="1" applyAlignment="1">
      <alignment horizontal="center"/>
    </xf>
    <xf numFmtId="0" fontId="0" fillId="0" borderId="0" xfId="44" applyFont="1"/>
    <xf numFmtId="0" fontId="21" fillId="0" borderId="0" xfId="0" applyFont="1" applyAlignment="1"/>
    <xf numFmtId="0" fontId="33" fillId="0" borderId="0" xfId="0" applyFont="1"/>
    <xf numFmtId="0" fontId="0" fillId="0" borderId="0" xfId="0" applyAlignment="1">
      <alignment horizontal="center"/>
    </xf>
    <xf numFmtId="0" fontId="34" fillId="0" borderId="0" xfId="0" applyFont="1" applyAlignment="1">
      <alignment horizontal="center"/>
    </xf>
    <xf numFmtId="14" fontId="34" fillId="0" borderId="0" xfId="0" applyNumberFormat="1" applyFont="1" applyAlignment="1">
      <alignment horizontal="center"/>
    </xf>
    <xf numFmtId="0" fontId="35" fillId="0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44" fontId="33" fillId="0" borderId="20" xfId="47" applyNumberFormat="1" applyFont="1" applyFill="1" applyBorder="1" applyAlignment="1"/>
    <xf numFmtId="44" fontId="33" fillId="0" borderId="0" xfId="47" applyNumberFormat="1" applyFont="1" applyFill="1" applyBorder="1" applyAlignment="1"/>
    <xf numFmtId="0" fontId="36" fillId="0" borderId="0" xfId="0" applyFont="1" applyFill="1"/>
    <xf numFmtId="15" fontId="33" fillId="0" borderId="0" xfId="0" applyNumberFormat="1" applyFont="1" applyFill="1" applyAlignment="1">
      <alignment horizontal="right"/>
    </xf>
    <xf numFmtId="14" fontId="36" fillId="0" borderId="0" xfId="0" applyNumberFormat="1" applyFont="1"/>
    <xf numFmtId="0" fontId="36" fillId="0" borderId="0" xfId="0" applyFont="1"/>
    <xf numFmtId="0" fontId="35" fillId="0" borderId="0" xfId="0" applyFont="1" applyAlignment="1">
      <alignment horizontal="left"/>
    </xf>
    <xf numFmtId="10" fontId="33" fillId="0" borderId="0" xfId="0" applyNumberFormat="1" applyFont="1" applyAlignment="1">
      <alignment horizontal="right"/>
    </xf>
    <xf numFmtId="0" fontId="36" fillId="0" borderId="0" xfId="0" applyFont="1" applyAlignment="1">
      <alignment horizontal="center"/>
    </xf>
    <xf numFmtId="15" fontId="33" fillId="0" borderId="0" xfId="0" applyNumberFormat="1" applyFont="1" applyFill="1" applyAlignment="1"/>
    <xf numFmtId="0" fontId="0" fillId="0" borderId="0" xfId="0" applyFill="1" applyAlignment="1"/>
    <xf numFmtId="15" fontId="33" fillId="0" borderId="0" xfId="0" applyNumberFormat="1" applyFont="1" applyFill="1"/>
    <xf numFmtId="0" fontId="33" fillId="0" borderId="0" xfId="0" applyFont="1" applyAlignment="1">
      <alignment horizontal="right"/>
    </xf>
    <xf numFmtId="10" fontId="33" fillId="0" borderId="0" xfId="48" applyNumberFormat="1" applyFont="1" applyFill="1"/>
    <xf numFmtId="167" fontId="35" fillId="0" borderId="0" xfId="48" applyNumberFormat="1" applyFont="1" applyAlignment="1">
      <alignment horizontal="left"/>
    </xf>
    <xf numFmtId="10" fontId="33" fillId="0" borderId="19" xfId="48" applyNumberFormat="1" applyFont="1" applyFill="1" applyBorder="1"/>
    <xf numFmtId="0" fontId="36" fillId="0" borderId="0" xfId="0" applyFont="1" applyAlignment="1">
      <alignment horizontal="right"/>
    </xf>
    <xf numFmtId="0" fontId="34" fillId="0" borderId="0" xfId="0" applyFont="1" applyAlignment="1">
      <alignment horizontal="right"/>
    </xf>
    <xf numFmtId="10" fontId="34" fillId="0" borderId="0" xfId="48" applyNumberFormat="1" applyFont="1"/>
    <xf numFmtId="44" fontId="36" fillId="0" borderId="0" xfId="47" applyFont="1" applyFill="1" applyBorder="1" applyAlignment="1"/>
    <xf numFmtId="0" fontId="34" fillId="37" borderId="21" xfId="0" applyFont="1" applyFill="1" applyBorder="1" applyAlignment="1">
      <alignment horizontal="center"/>
    </xf>
    <xf numFmtId="0" fontId="34" fillId="37" borderId="22" xfId="0" applyFont="1" applyFill="1" applyBorder="1" applyAlignment="1">
      <alignment horizontal="center" wrapText="1"/>
    </xf>
    <xf numFmtId="0" fontId="34" fillId="38" borderId="22" xfId="0" applyFont="1" applyFill="1" applyBorder="1" applyAlignment="1">
      <alignment horizontal="center" wrapText="1"/>
    </xf>
    <xf numFmtId="170" fontId="37" fillId="0" borderId="0" xfId="1" applyNumberFormat="1" applyFont="1" applyAlignment="1">
      <alignment horizontal="center"/>
    </xf>
    <xf numFmtId="170" fontId="37" fillId="0" borderId="0" xfId="0" applyNumberFormat="1" applyFont="1" applyAlignment="1">
      <alignment horizontal="center"/>
    </xf>
    <xf numFmtId="4" fontId="37" fillId="0" borderId="0" xfId="1" applyNumberFormat="1" applyFont="1" applyFill="1" applyAlignment="1">
      <alignment horizontal="center"/>
    </xf>
    <xf numFmtId="4" fontId="37" fillId="0" borderId="0" xfId="1" applyNumberFormat="1" applyFont="1" applyAlignment="1">
      <alignment horizontal="center"/>
    </xf>
    <xf numFmtId="4" fontId="38" fillId="0" borderId="0" xfId="47" applyNumberFormat="1" applyFont="1" applyAlignment="1">
      <alignment horizontal="center"/>
    </xf>
    <xf numFmtId="170" fontId="33" fillId="0" borderId="0" xfId="0" applyNumberFormat="1" applyFont="1"/>
    <xf numFmtId="170" fontId="34" fillId="0" borderId="0" xfId="0" applyNumberFormat="1" applyFont="1" applyAlignment="1">
      <alignment horizontal="right"/>
    </xf>
    <xf numFmtId="44" fontId="34" fillId="0" borderId="0" xfId="47" applyFont="1"/>
    <xf numFmtId="171" fontId="36" fillId="0" borderId="0" xfId="0" applyNumberFormat="1" applyFont="1"/>
    <xf numFmtId="43" fontId="37" fillId="0" borderId="0" xfId="1" applyNumberFormat="1" applyFont="1" applyFill="1" applyAlignment="1">
      <alignment horizontal="center"/>
    </xf>
    <xf numFmtId="43" fontId="37" fillId="0" borderId="0" xfId="1" applyFont="1" applyAlignment="1">
      <alignment horizontal="center"/>
    </xf>
    <xf numFmtId="7" fontId="38" fillId="0" borderId="0" xfId="47" applyNumberFormat="1" applyFont="1" applyAlignment="1">
      <alignment horizontal="center"/>
    </xf>
    <xf numFmtId="0" fontId="38" fillId="0" borderId="0" xfId="47" applyNumberFormat="1" applyFont="1" applyAlignment="1">
      <alignment horizontal="center"/>
    </xf>
    <xf numFmtId="166" fontId="37" fillId="0" borderId="0" xfId="0" applyNumberFormat="1" applyFont="1" applyAlignment="1">
      <alignment horizontal="center"/>
    </xf>
    <xf numFmtId="43" fontId="37" fillId="0" borderId="0" xfId="0" applyNumberFormat="1" applyFont="1" applyAlignment="1">
      <alignment horizontal="right"/>
    </xf>
    <xf numFmtId="7" fontId="37" fillId="0" borderId="0" xfId="47" applyNumberFormat="1" applyFont="1" applyAlignment="1">
      <alignment horizontal="center"/>
    </xf>
    <xf numFmtId="0" fontId="37" fillId="0" borderId="0" xfId="47" applyNumberFormat="1" applyFont="1" applyAlignment="1">
      <alignment horizontal="center"/>
    </xf>
    <xf numFmtId="4" fontId="37" fillId="0" borderId="0" xfId="47" applyNumberFormat="1" applyFont="1" applyAlignment="1">
      <alignment horizontal="center"/>
    </xf>
    <xf numFmtId="40" fontId="19" fillId="0" borderId="0" xfId="0" applyNumberFormat="1" applyFont="1" applyAlignment="1">
      <alignment horizontal="right"/>
    </xf>
    <xf numFmtId="40" fontId="19" fillId="0" borderId="0" xfId="1" applyNumberFormat="1" applyFont="1" applyAlignment="1">
      <alignment horizontal="right"/>
    </xf>
    <xf numFmtId="40" fontId="20" fillId="0" borderId="11" xfId="0" applyNumberFormat="1" applyFont="1" applyBorder="1" applyAlignment="1">
      <alignment horizontal="right"/>
    </xf>
    <xf numFmtId="40" fontId="21" fillId="0" borderId="0" xfId="0" applyNumberFormat="1" applyFont="1" applyAlignment="1"/>
    <xf numFmtId="40" fontId="20" fillId="33" borderId="10" xfId="1" applyNumberFormat="1" applyFont="1" applyFill="1" applyBorder="1" applyAlignment="1">
      <alignment horizontal="center" vertical="center" wrapText="1"/>
    </xf>
    <xf numFmtId="40" fontId="19" fillId="0" borderId="0" xfId="0" applyNumberFormat="1" applyFont="1" applyAlignment="1">
      <alignment horizontal="center"/>
    </xf>
    <xf numFmtId="40" fontId="20" fillId="0" borderId="0" xfId="0" applyNumberFormat="1" applyFont="1" applyAlignment="1">
      <alignment horizontal="right"/>
    </xf>
    <xf numFmtId="40" fontId="19" fillId="0" borderId="0" xfId="0" applyNumberFormat="1" applyFont="1" applyBorder="1" applyAlignment="1">
      <alignment horizontal="right"/>
    </xf>
    <xf numFmtId="40" fontId="20" fillId="0" borderId="0" xfId="0" applyNumberFormat="1" applyFont="1" applyBorder="1" applyAlignment="1">
      <alignment horizontal="right"/>
    </xf>
    <xf numFmtId="40" fontId="20" fillId="0" borderId="0" xfId="0" applyNumberFormat="1" applyFont="1" applyAlignment="1">
      <alignment horizontal="center"/>
    </xf>
    <xf numFmtId="40" fontId="20" fillId="0" borderId="0" xfId="1" applyNumberFormat="1" applyFont="1" applyAlignment="1">
      <alignment horizontal="center"/>
    </xf>
    <xf numFmtId="40" fontId="20" fillId="0" borderId="0" xfId="1" applyNumberFormat="1" applyFont="1" applyAlignment="1">
      <alignment horizontal="right"/>
    </xf>
    <xf numFmtId="40" fontId="0" fillId="0" borderId="0" xfId="0" applyNumberFormat="1"/>
    <xf numFmtId="40" fontId="0" fillId="0" borderId="0" xfId="1" applyNumberFormat="1" applyFont="1"/>
    <xf numFmtId="0" fontId="20" fillId="0" borderId="0" xfId="0" applyFont="1" applyAlignment="1"/>
    <xf numFmtId="0" fontId="19" fillId="0" borderId="0" xfId="0" applyFont="1" applyAlignment="1">
      <alignment horizontal="center"/>
    </xf>
    <xf numFmtId="17" fontId="20" fillId="33" borderId="10" xfId="0" applyNumberFormat="1" applyFont="1" applyFill="1" applyBorder="1" applyAlignment="1">
      <alignment horizontal="center" vertical="center" wrapText="1"/>
    </xf>
    <xf numFmtId="40" fontId="19" fillId="39" borderId="0" xfId="0" applyNumberFormat="1" applyFont="1" applyFill="1" applyAlignment="1">
      <alignment horizontal="right"/>
    </xf>
    <xf numFmtId="0" fontId="40" fillId="0" borderId="20" xfId="0" applyFont="1" applyBorder="1"/>
    <xf numFmtId="0" fontId="16" fillId="0" borderId="2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41" fillId="0" borderId="20" xfId="0" applyFont="1" applyBorder="1"/>
    <xf numFmtId="0" fontId="0" fillId="0" borderId="20" xfId="0" applyBorder="1"/>
    <xf numFmtId="44" fontId="0" fillId="0" borderId="20" xfId="0" applyNumberFormat="1" applyBorder="1"/>
    <xf numFmtId="49" fontId="0" fillId="0" borderId="20" xfId="0" applyNumberFormat="1" applyBorder="1"/>
    <xf numFmtId="168" fontId="0" fillId="0" borderId="20" xfId="0" applyNumberFormat="1" applyBorder="1"/>
    <xf numFmtId="0" fontId="40" fillId="0" borderId="20" xfId="0" applyFont="1" applyBorder="1" applyAlignment="1">
      <alignment wrapText="1"/>
    </xf>
    <xf numFmtId="0" fontId="40" fillId="0" borderId="20" xfId="0" applyFont="1" applyBorder="1" applyAlignment="1">
      <alignment horizontal="center"/>
    </xf>
    <xf numFmtId="44" fontId="40" fillId="0" borderId="20" xfId="0" applyNumberFormat="1" applyFont="1" applyBorder="1" applyAlignment="1">
      <alignment wrapText="1"/>
    </xf>
    <xf numFmtId="44" fontId="40" fillId="0" borderId="20" xfId="0" applyNumberFormat="1" applyFont="1" applyBorder="1" applyAlignment="1">
      <alignment horizontal="center"/>
    </xf>
    <xf numFmtId="49" fontId="40" fillId="0" borderId="20" xfId="0" applyNumberFormat="1" applyFont="1" applyBorder="1" applyAlignment="1">
      <alignment horizontal="center"/>
    </xf>
    <xf numFmtId="168" fontId="40" fillId="0" borderId="20" xfId="0" applyNumberFormat="1" applyFont="1" applyBorder="1" applyAlignment="1">
      <alignment horizontal="center"/>
    </xf>
    <xf numFmtId="0" fontId="42" fillId="0" borderId="0" xfId="0" applyFont="1"/>
    <xf numFmtId="40" fontId="16" fillId="0" borderId="0" xfId="0" applyNumberFormat="1" applyFont="1"/>
    <xf numFmtId="10" fontId="16" fillId="40" borderId="23" xfId="0" applyNumberFormat="1" applyFont="1" applyFill="1" applyBorder="1"/>
    <xf numFmtId="40" fontId="16" fillId="40" borderId="23" xfId="0" applyNumberFormat="1" applyFont="1" applyFill="1" applyBorder="1"/>
    <xf numFmtId="0" fontId="16" fillId="40" borderId="23" xfId="0" applyFont="1" applyFill="1" applyBorder="1" applyAlignment="1">
      <alignment horizontal="left"/>
    </xf>
    <xf numFmtId="10" fontId="0" fillId="36" borderId="0" xfId="0" applyNumberFormat="1" applyFill="1"/>
    <xf numFmtId="40" fontId="0" fillId="36" borderId="0" xfId="0" applyNumberFormat="1" applyFill="1"/>
    <xf numFmtId="0" fontId="0" fillId="36" borderId="0" xfId="0" applyFill="1" applyAlignment="1">
      <alignment horizontal="left"/>
    </xf>
    <xf numFmtId="0" fontId="0" fillId="0" borderId="0" xfId="0" applyAlignment="1">
      <alignment horizontal="left"/>
    </xf>
    <xf numFmtId="0" fontId="19" fillId="0" borderId="0" xfId="0" applyFont="1" applyAlignment="1">
      <alignment horizontal="center"/>
    </xf>
    <xf numFmtId="0" fontId="0" fillId="0" borderId="0" xfId="0" applyAlignment="1">
      <alignment wrapText="1"/>
    </xf>
    <xf numFmtId="10" fontId="0" fillId="0" borderId="0" xfId="48" applyNumberFormat="1" applyFont="1"/>
    <xf numFmtId="9" fontId="0" fillId="0" borderId="0" xfId="48" applyNumberFormat="1" applyFont="1"/>
    <xf numFmtId="0" fontId="19" fillId="42" borderId="0" xfId="0" applyFont="1" applyFill="1" applyAlignment="1">
      <alignment horizontal="center"/>
    </xf>
    <xf numFmtId="0" fontId="19" fillId="42" borderId="0" xfId="0" applyFont="1" applyFill="1" applyAlignment="1">
      <alignment horizontal="left"/>
    </xf>
    <xf numFmtId="40" fontId="19" fillId="42" borderId="0" xfId="0" applyNumberFormat="1" applyFont="1" applyFill="1" applyAlignment="1">
      <alignment horizontal="right"/>
    </xf>
    <xf numFmtId="0" fontId="16" fillId="42" borderId="0" xfId="0" applyFont="1" applyFill="1"/>
    <xf numFmtId="40" fontId="19" fillId="42" borderId="0" xfId="1" applyNumberFormat="1" applyFont="1" applyFill="1" applyAlignment="1">
      <alignment horizontal="right"/>
    </xf>
    <xf numFmtId="40" fontId="19" fillId="42" borderId="0" xfId="0" applyNumberFormat="1" applyFont="1" applyFill="1" applyBorder="1" applyAlignment="1">
      <alignment horizontal="right"/>
    </xf>
    <xf numFmtId="0" fontId="0" fillId="42" borderId="0" xfId="0" applyFill="1"/>
    <xf numFmtId="0" fontId="20" fillId="42" borderId="0" xfId="0" applyFont="1" applyFill="1" applyAlignment="1">
      <alignment horizontal="center"/>
    </xf>
    <xf numFmtId="0" fontId="20" fillId="42" borderId="0" xfId="0" applyFont="1" applyFill="1" applyAlignment="1">
      <alignment horizontal="left"/>
    </xf>
    <xf numFmtId="40" fontId="20" fillId="42" borderId="11" xfId="0" applyNumberFormat="1" applyFont="1" applyFill="1" applyBorder="1" applyAlignment="1">
      <alignment horizontal="righ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40" fontId="44" fillId="42" borderId="0" xfId="0" applyNumberFormat="1" applyFont="1" applyFill="1" applyAlignment="1">
      <alignment horizontal="center"/>
    </xf>
    <xf numFmtId="0" fontId="43" fillId="41" borderId="0" xfId="0" applyFont="1" applyFill="1" applyAlignment="1">
      <alignment horizontal="center" vertical="center"/>
    </xf>
    <xf numFmtId="0" fontId="34" fillId="36" borderId="0" xfId="0" applyFont="1" applyFill="1" applyAlignment="1">
      <alignment horizontal="center"/>
    </xf>
    <xf numFmtId="17" fontId="34" fillId="37" borderId="22" xfId="0" applyNumberFormat="1" applyFont="1" applyFill="1" applyBorder="1" applyAlignment="1">
      <alignment horizontal="center"/>
    </xf>
    <xf numFmtId="0" fontId="29" fillId="0" borderId="0" xfId="44" applyFont="1" applyAlignment="1">
      <alignment horizontal="center" vertical="center"/>
    </xf>
    <xf numFmtId="164" fontId="1" fillId="39" borderId="0" xfId="45" applyNumberFormat="1" applyFont="1" applyFill="1"/>
    <xf numFmtId="174" fontId="16" fillId="35" borderId="0" xfId="1" applyNumberFormat="1" applyFont="1" applyFill="1" applyAlignment="1">
      <alignment horizontal="center"/>
    </xf>
    <xf numFmtId="167" fontId="0" fillId="0" borderId="0" xfId="48" applyNumberFormat="1" applyFont="1"/>
    <xf numFmtId="176" fontId="0" fillId="0" borderId="0" xfId="0" applyNumberFormat="1"/>
    <xf numFmtId="178" fontId="0" fillId="0" borderId="0" xfId="48" applyNumberFormat="1" applyFont="1"/>
    <xf numFmtId="0" fontId="0" fillId="0" borderId="0" xfId="0" applyFont="1"/>
    <xf numFmtId="0" fontId="0" fillId="0" borderId="0" xfId="0" applyNumberFormat="1"/>
    <xf numFmtId="0" fontId="1" fillId="42" borderId="0" xfId="44" applyFont="1" applyFill="1"/>
  </cellXfs>
  <cellStyles count="49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urrency" xfId="47" builtinId="4"/>
    <cellStyle name="Currency 2" xfId="45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rmal 3" xfId="44"/>
    <cellStyle name="Note" xfId="16" builtinId="10" customBuiltin="1"/>
    <cellStyle name="Output" xfId="11" builtinId="21" customBuiltin="1"/>
    <cellStyle name="Percent" xfId="48" builtinId="5"/>
    <cellStyle name="Percent 2" xfId="46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81</xdr:row>
      <xdr:rowOff>0</xdr:rowOff>
    </xdr:from>
    <xdr:to>
      <xdr:col>4</xdr:col>
      <xdr:colOff>476249</xdr:colOff>
      <xdr:row>82</xdr:row>
      <xdr:rowOff>23812</xdr:rowOff>
    </xdr:to>
    <xdr:cxnSp macro="">
      <xdr:nvCxnSpPr>
        <xdr:cNvPr id="2" name="Straight Arrow Connector 1"/>
        <xdr:cNvCxnSpPr/>
      </xdr:nvCxnSpPr>
      <xdr:spPr>
        <a:xfrm>
          <a:off x="6200774" y="15430500"/>
          <a:ext cx="47625" cy="2143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428624</xdr:colOff>
      <xdr:row>80</xdr:row>
      <xdr:rowOff>166687</xdr:rowOff>
    </xdr:from>
    <xdr:to>
      <xdr:col>5</xdr:col>
      <xdr:colOff>476249</xdr:colOff>
      <xdr:row>82</xdr:row>
      <xdr:rowOff>47625</xdr:rowOff>
    </xdr:to>
    <xdr:cxnSp macro="">
      <xdr:nvCxnSpPr>
        <xdr:cNvPr id="3" name="Straight Arrow Connector 2"/>
        <xdr:cNvCxnSpPr/>
      </xdr:nvCxnSpPr>
      <xdr:spPr>
        <a:xfrm flipH="1">
          <a:off x="6981824" y="15406687"/>
          <a:ext cx="47625" cy="261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/PROPERTIES/Budgets/2015%20Budget-%202016%20Proforma/New%20Template%20Budgets/Rutherford%20Preliminary%20Budget%20NT%202016%20TEMP%20REV%2004%2001%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Op Budget 2015"/>
      <sheetName val="Op Budget 2016"/>
      <sheetName val="Assumptions"/>
      <sheetName val="2015 Dev Costs"/>
      <sheetName val="Broker's Comm"/>
      <sheetName val="Min Rent 2015"/>
      <sheetName val="CAM 2015"/>
      <sheetName val="RETaxes 2015"/>
      <sheetName val="Ins 2015"/>
      <sheetName val="Min Rent 2016"/>
      <sheetName val="CAM 2016"/>
      <sheetName val="RETaxes 2016"/>
      <sheetName val="Ins 2016"/>
    </sheetNames>
    <sheetDataSet>
      <sheetData sheetId="0"/>
      <sheetData sheetId="1">
        <row r="13">
          <cell r="Q13">
            <v>588.5</v>
          </cell>
        </row>
        <row r="14">
          <cell r="Q14">
            <v>995.1</v>
          </cell>
        </row>
        <row r="15">
          <cell r="Q15">
            <v>3610.5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6981.2</v>
          </cell>
        </row>
        <row r="20">
          <cell r="Q20">
            <v>1500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1093.5999999999999</v>
          </cell>
        </row>
        <row r="24">
          <cell r="Q24">
            <v>17403.190000000002</v>
          </cell>
        </row>
        <row r="25">
          <cell r="Q25">
            <v>16309.830000000002</v>
          </cell>
        </row>
        <row r="26">
          <cell r="Q26">
            <v>3830.1099999999997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16278.9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88655</v>
          </cell>
        </row>
        <row r="33">
          <cell r="Q33">
            <v>1652</v>
          </cell>
        </row>
        <row r="34">
          <cell r="Q34">
            <v>5019.4699999999993</v>
          </cell>
        </row>
        <row r="35">
          <cell r="Q35">
            <v>0</v>
          </cell>
        </row>
        <row r="36">
          <cell r="Q36">
            <v>0</v>
          </cell>
        </row>
        <row r="37">
          <cell r="Q37">
            <v>0</v>
          </cell>
        </row>
        <row r="38">
          <cell r="Q38">
            <v>0</v>
          </cell>
        </row>
        <row r="39">
          <cell r="Q39">
            <v>0</v>
          </cell>
        </row>
        <row r="40">
          <cell r="Q40">
            <v>10963.33</v>
          </cell>
        </row>
        <row r="41">
          <cell r="Q41">
            <v>16965.75</v>
          </cell>
        </row>
        <row r="42">
          <cell r="Q42">
            <v>12170</v>
          </cell>
        </row>
        <row r="43">
          <cell r="Q43">
            <v>0</v>
          </cell>
        </row>
        <row r="44">
          <cell r="Q44">
            <v>0</v>
          </cell>
        </row>
        <row r="45">
          <cell r="Q45">
            <v>1058.8900000000001</v>
          </cell>
        </row>
        <row r="46">
          <cell r="Q46">
            <v>194.67000000000002</v>
          </cell>
        </row>
        <row r="47">
          <cell r="Q47">
            <v>681.67000000000007</v>
          </cell>
        </row>
        <row r="48">
          <cell r="Q48">
            <v>0</v>
          </cell>
        </row>
        <row r="49">
          <cell r="Q49">
            <v>251</v>
          </cell>
        </row>
        <row r="50">
          <cell r="Q50">
            <v>0</v>
          </cell>
        </row>
        <row r="51">
          <cell r="Q51">
            <v>98.06</v>
          </cell>
        </row>
        <row r="52">
          <cell r="Q52">
            <v>121.74000000000001</v>
          </cell>
        </row>
        <row r="56">
          <cell r="Q56">
            <v>52312.03</v>
          </cell>
        </row>
        <row r="73">
          <cell r="P73">
            <v>84180.56</v>
          </cell>
        </row>
      </sheetData>
      <sheetData sheetId="2"/>
      <sheetData sheetId="3">
        <row r="3">
          <cell r="B3">
            <v>1.49E-2</v>
          </cell>
          <cell r="I3">
            <v>5763.2800000000007</v>
          </cell>
          <cell r="J3">
            <v>13333.33</v>
          </cell>
        </row>
        <row r="4">
          <cell r="I4">
            <v>5782.49</v>
          </cell>
          <cell r="J4">
            <v>13314.12</v>
          </cell>
        </row>
        <row r="5">
          <cell r="B5">
            <v>0</v>
          </cell>
          <cell r="I5">
            <v>5801.76</v>
          </cell>
          <cell r="J5">
            <v>13294.85</v>
          </cell>
        </row>
        <row r="6">
          <cell r="I6">
            <v>5821.1</v>
          </cell>
          <cell r="J6">
            <v>13275.51</v>
          </cell>
        </row>
        <row r="7">
          <cell r="I7">
            <v>5840.51</v>
          </cell>
          <cell r="J7">
            <v>13256.1</v>
          </cell>
        </row>
        <row r="8">
          <cell r="I8">
            <v>5859.9700000000012</v>
          </cell>
          <cell r="J8">
            <v>13236.64</v>
          </cell>
        </row>
        <row r="9">
          <cell r="I9">
            <v>5879.51</v>
          </cell>
          <cell r="J9">
            <v>13217.1</v>
          </cell>
        </row>
        <row r="10">
          <cell r="I10">
            <v>5899.1100000000006</v>
          </cell>
          <cell r="J10">
            <v>13197.5</v>
          </cell>
          <cell r="P10"/>
        </row>
        <row r="11">
          <cell r="B11">
            <v>13333.333333333334</v>
          </cell>
          <cell r="I11">
            <v>5918.77</v>
          </cell>
          <cell r="J11">
            <v>13177.84</v>
          </cell>
          <cell r="P11">
            <v>13855</v>
          </cell>
        </row>
        <row r="12">
          <cell r="P12">
            <v>13855</v>
          </cell>
        </row>
        <row r="19">
          <cell r="P19"/>
        </row>
        <row r="20">
          <cell r="P20">
            <v>14493</v>
          </cell>
        </row>
        <row r="21">
          <cell r="P21">
            <v>14493</v>
          </cell>
        </row>
        <row r="28">
          <cell r="P28"/>
        </row>
        <row r="29">
          <cell r="P29">
            <v>10681</v>
          </cell>
        </row>
        <row r="30">
          <cell r="P30">
            <v>10681</v>
          </cell>
        </row>
        <row r="31">
          <cell r="P31">
            <v>10681</v>
          </cell>
        </row>
        <row r="34">
          <cell r="P34">
            <v>35000</v>
          </cell>
        </row>
      </sheetData>
      <sheetData sheetId="4"/>
      <sheetData sheetId="5">
        <row r="14">
          <cell r="K14">
            <v>9137</v>
          </cell>
          <cell r="L14">
            <v>0</v>
          </cell>
          <cell r="M14">
            <v>0</v>
          </cell>
          <cell r="N14">
            <v>15419</v>
          </cell>
          <cell r="O14">
            <v>4204.8355000000001</v>
          </cell>
          <cell r="P14">
            <v>1773.9150025162505</v>
          </cell>
          <cell r="Q14">
            <v>15419</v>
          </cell>
          <cell r="R14">
            <v>0</v>
          </cell>
          <cell r="S14">
            <v>0</v>
          </cell>
          <cell r="T14">
            <v>1773.9150025162505</v>
          </cell>
          <cell r="U14">
            <v>4204.8355000000001</v>
          </cell>
          <cell r="V14">
            <v>3547.830005032501</v>
          </cell>
        </row>
      </sheetData>
      <sheetData sheetId="6">
        <row r="15">
          <cell r="C15">
            <v>21897</v>
          </cell>
        </row>
      </sheetData>
      <sheetData sheetId="7"/>
      <sheetData sheetId="8"/>
      <sheetData sheetId="9"/>
      <sheetData sheetId="10">
        <row r="16">
          <cell r="E16">
            <v>25525</v>
          </cell>
          <cell r="F16">
            <v>25525</v>
          </cell>
          <cell r="G16">
            <v>25525</v>
          </cell>
          <cell r="H16">
            <v>25525</v>
          </cell>
          <cell r="I16">
            <v>26717.258064516129</v>
          </cell>
          <cell r="J16">
            <v>28165</v>
          </cell>
          <cell r="K16">
            <v>29515</v>
          </cell>
          <cell r="L16">
            <v>29515</v>
          </cell>
          <cell r="M16">
            <v>30628.75</v>
          </cell>
          <cell r="N16">
            <v>31742.5</v>
          </cell>
          <cell r="O16">
            <v>33970</v>
          </cell>
          <cell r="P16">
            <v>33970</v>
          </cell>
        </row>
      </sheetData>
      <sheetData sheetId="11">
        <row r="16">
          <cell r="E16">
            <v>2145</v>
          </cell>
          <cell r="F16">
            <v>2145</v>
          </cell>
          <cell r="G16">
            <v>2145</v>
          </cell>
          <cell r="H16">
            <v>2145</v>
          </cell>
          <cell r="I16">
            <v>2300.3548387096776</v>
          </cell>
          <cell r="J16">
            <v>2489</v>
          </cell>
          <cell r="K16">
            <v>2489</v>
          </cell>
          <cell r="L16">
            <v>2489</v>
          </cell>
          <cell r="M16">
            <v>2646</v>
          </cell>
          <cell r="N16">
            <v>2803</v>
          </cell>
          <cell r="O16">
            <v>3117</v>
          </cell>
          <cell r="P16">
            <v>3117</v>
          </cell>
        </row>
      </sheetData>
      <sheetData sheetId="12">
        <row r="16">
          <cell r="E16">
            <v>6007</v>
          </cell>
          <cell r="F16">
            <v>6007</v>
          </cell>
          <cell r="G16">
            <v>6007</v>
          </cell>
          <cell r="H16">
            <v>6007</v>
          </cell>
          <cell r="I16">
            <v>6200.7419354838712</v>
          </cell>
          <cell r="J16">
            <v>6436</v>
          </cell>
          <cell r="K16">
            <v>6436</v>
          </cell>
          <cell r="L16">
            <v>6436</v>
          </cell>
          <cell r="M16">
            <v>6632</v>
          </cell>
          <cell r="N16">
            <v>6828</v>
          </cell>
          <cell r="O16">
            <v>7220</v>
          </cell>
          <cell r="P16">
            <v>7220</v>
          </cell>
        </row>
      </sheetData>
      <sheetData sheetId="13">
        <row r="16">
          <cell r="D16">
            <v>390</v>
          </cell>
          <cell r="E16">
            <v>390</v>
          </cell>
          <cell r="F16">
            <v>390</v>
          </cell>
          <cell r="G16">
            <v>390</v>
          </cell>
          <cell r="H16">
            <v>390</v>
          </cell>
          <cell r="I16">
            <v>390</v>
          </cell>
          <cell r="J16">
            <v>390</v>
          </cell>
          <cell r="K16">
            <v>390</v>
          </cell>
          <cell r="L16">
            <v>390</v>
          </cell>
          <cell r="M16">
            <v>390</v>
          </cell>
          <cell r="N16">
            <v>390</v>
          </cell>
          <cell r="O16">
            <v>390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125"/>
  <sheetViews>
    <sheetView workbookViewId="0">
      <selection activeCell="A86" sqref="A86:B88"/>
    </sheetView>
  </sheetViews>
  <sheetFormatPr defaultRowHeight="15" x14ac:dyDescent="0.25"/>
  <cols>
    <col min="1" max="1" width="11.42578125" customWidth="1"/>
    <col min="2" max="2" width="37.140625" customWidth="1"/>
    <col min="3" max="4" width="17.140625" customWidth="1"/>
    <col min="5" max="5" width="1.7109375" customWidth="1"/>
    <col min="6" max="7" width="17.140625" customWidth="1"/>
  </cols>
  <sheetData>
    <row r="1" spans="1:9" x14ac:dyDescent="0.25">
      <c r="A1" s="231" t="s">
        <v>164</v>
      </c>
      <c r="B1" s="231"/>
      <c r="C1" s="231"/>
      <c r="D1" s="231"/>
      <c r="E1" s="231"/>
      <c r="F1" s="231"/>
      <c r="G1" s="231"/>
    </row>
    <row r="2" spans="1:9" ht="15.75" x14ac:dyDescent="0.25">
      <c r="A2" s="232" t="s">
        <v>197</v>
      </c>
      <c r="B2" s="232"/>
      <c r="C2" s="232"/>
      <c r="D2" s="232"/>
      <c r="E2" s="232"/>
      <c r="F2" s="232"/>
      <c r="G2" s="232"/>
    </row>
    <row r="3" spans="1:9" x14ac:dyDescent="0.25">
      <c r="A3" s="231"/>
      <c r="B3" s="231"/>
      <c r="C3" s="231"/>
      <c r="D3" s="231"/>
      <c r="E3" s="231"/>
      <c r="F3" s="231"/>
      <c r="G3" s="231"/>
    </row>
    <row r="4" spans="1:9" x14ac:dyDescent="0.25">
      <c r="A4" s="231"/>
      <c r="B4" s="231"/>
      <c r="C4" s="231"/>
      <c r="D4" s="231"/>
      <c r="E4" s="231"/>
      <c r="F4" s="231"/>
      <c r="G4" s="231"/>
    </row>
    <row r="5" spans="1:9" s="11" customFormat="1" ht="21.75" thickBot="1" x14ac:dyDescent="0.3">
      <c r="A5" s="10"/>
      <c r="B5" s="10"/>
      <c r="C5" s="10" t="s">
        <v>199</v>
      </c>
      <c r="D5" s="10" t="s">
        <v>198</v>
      </c>
      <c r="E5" s="10"/>
      <c r="F5" s="10" t="s">
        <v>200</v>
      </c>
      <c r="G5" s="10" t="s">
        <v>201</v>
      </c>
    </row>
    <row r="6" spans="1:9" x14ac:dyDescent="0.25">
      <c r="A6" s="1"/>
      <c r="B6" s="5"/>
      <c r="C6" s="5"/>
      <c r="D6" s="1"/>
      <c r="E6" s="1"/>
      <c r="F6" s="1"/>
      <c r="G6" s="1"/>
    </row>
    <row r="7" spans="1:9" x14ac:dyDescent="0.25">
      <c r="A7" s="1" t="s">
        <v>1</v>
      </c>
      <c r="B7" s="5" t="s">
        <v>2</v>
      </c>
      <c r="C7" s="5"/>
      <c r="D7" s="9"/>
      <c r="E7" s="9"/>
      <c r="F7" s="9"/>
      <c r="G7" s="9"/>
    </row>
    <row r="8" spans="1:9" x14ac:dyDescent="0.25">
      <c r="A8" s="1"/>
      <c r="B8" s="5"/>
      <c r="C8" s="5"/>
      <c r="D8" s="1"/>
      <c r="E8" s="1"/>
      <c r="F8" s="1"/>
      <c r="G8" s="1"/>
    </row>
    <row r="9" spans="1:9" x14ac:dyDescent="0.25">
      <c r="A9" s="1" t="s">
        <v>3</v>
      </c>
      <c r="B9" s="5" t="s">
        <v>4</v>
      </c>
      <c r="C9" s="5"/>
      <c r="D9" s="9"/>
      <c r="E9" s="9"/>
      <c r="F9" s="9"/>
      <c r="G9" s="9"/>
    </row>
    <row r="10" spans="1:9" x14ac:dyDescent="0.25">
      <c r="A10" s="1" t="s">
        <v>5</v>
      </c>
      <c r="B10" s="5" t="s">
        <v>6</v>
      </c>
      <c r="C10" s="4"/>
      <c r="D10" s="4">
        <v>76575</v>
      </c>
      <c r="E10" s="4"/>
      <c r="F10" s="4">
        <f>_xlfn.IFNA(VLOOKUP(A10,'2017 Projected'!$A$10:$P$159,3,FALSE),)</f>
        <v>359680.69</v>
      </c>
      <c r="G10" s="4">
        <v>0</v>
      </c>
      <c r="I10" s="1"/>
    </row>
    <row r="11" spans="1:9" ht="15.75" thickBot="1" x14ac:dyDescent="0.3">
      <c r="A11" s="1" t="s">
        <v>7</v>
      </c>
      <c r="B11" s="5"/>
      <c r="C11" s="1"/>
      <c r="D11" s="1"/>
      <c r="E11" s="1"/>
      <c r="F11" s="4">
        <f>_xlfn.IFNA(VLOOKUP(A11,'2017 Projected'!$A$10:$P$159,3,FALSE),)</f>
        <v>0</v>
      </c>
      <c r="G11" s="1"/>
      <c r="I11" s="1"/>
    </row>
    <row r="12" spans="1:9" x14ac:dyDescent="0.25">
      <c r="A12" s="1" t="s">
        <v>9</v>
      </c>
      <c r="B12" s="5" t="s">
        <v>10</v>
      </c>
      <c r="C12" s="8"/>
      <c r="D12" s="8">
        <v>76575</v>
      </c>
      <c r="E12" s="8"/>
      <c r="F12" s="8">
        <v>76575</v>
      </c>
      <c r="G12" s="8">
        <v>0</v>
      </c>
      <c r="I12" s="1"/>
    </row>
    <row r="13" spans="1:9" x14ac:dyDescent="0.25">
      <c r="A13" s="1"/>
      <c r="B13" s="5"/>
      <c r="C13" s="1"/>
      <c r="D13" s="1"/>
      <c r="E13" s="1"/>
      <c r="F13" s="1"/>
      <c r="G13" s="1"/>
      <c r="I13" s="1"/>
    </row>
    <row r="14" spans="1:9" x14ac:dyDescent="0.25">
      <c r="A14" s="1" t="s">
        <v>11</v>
      </c>
      <c r="B14" s="5" t="s">
        <v>12</v>
      </c>
      <c r="C14" s="9"/>
      <c r="D14" s="9"/>
      <c r="E14" s="9"/>
      <c r="F14" s="9"/>
      <c r="G14" s="9"/>
      <c r="I14" s="1"/>
    </row>
    <row r="15" spans="1:9" x14ac:dyDescent="0.25">
      <c r="A15" s="1" t="s">
        <v>13</v>
      </c>
      <c r="B15" s="5" t="str">
        <f>VLOOKUP(A15,'2017 Projected'!$A$9:$B$159,2,FALSE)</f>
        <v> REIMB. - UTILITIES</v>
      </c>
      <c r="C15" s="9"/>
      <c r="D15" s="9"/>
      <c r="E15" s="9"/>
      <c r="F15" s="4">
        <f>_xlfn.IFNA(VLOOKUP(A15,'2017 Projected'!$A$10:$P$159,3,FALSE),)</f>
        <v>0</v>
      </c>
      <c r="G15" s="9"/>
      <c r="I15" s="1"/>
    </row>
    <row r="16" spans="1:9" x14ac:dyDescent="0.25">
      <c r="A16" s="1" t="s">
        <v>15</v>
      </c>
      <c r="B16" s="5" t="s">
        <v>16</v>
      </c>
      <c r="C16" s="4"/>
      <c r="D16" s="4">
        <v>7342.83</v>
      </c>
      <c r="E16" s="4"/>
      <c r="F16" s="4">
        <f>_xlfn.IFNA(VLOOKUP(A16,'2017 Projected'!$A$10:$P$159,3,FALSE),)</f>
        <v>192652</v>
      </c>
      <c r="G16" s="4">
        <v>0</v>
      </c>
      <c r="I16" s="1"/>
    </row>
    <row r="17" spans="1:9" x14ac:dyDescent="0.25">
      <c r="A17" s="1" t="s">
        <v>17</v>
      </c>
      <c r="B17" s="5" t="s">
        <v>18</v>
      </c>
      <c r="C17" s="4"/>
      <c r="D17" s="4">
        <v>1171.92</v>
      </c>
      <c r="E17" s="4"/>
      <c r="F17" s="4">
        <f>_xlfn.IFNA(VLOOKUP(A17,'2017 Projected'!$A$10:$P$159,3,FALSE),)</f>
        <v>0</v>
      </c>
      <c r="G17" s="4">
        <v>0</v>
      </c>
      <c r="I17" s="1"/>
    </row>
    <row r="18" spans="1:9" x14ac:dyDescent="0.25">
      <c r="A18" s="1" t="s">
        <v>19</v>
      </c>
      <c r="B18" s="5" t="s">
        <v>20</v>
      </c>
      <c r="C18" s="4"/>
      <c r="D18" s="4">
        <v>18028.740000000002</v>
      </c>
      <c r="E18" s="4"/>
      <c r="F18" s="4">
        <f>_xlfn.IFNA(VLOOKUP(A18,'2017 Projected'!$A$10:$P$159,3,FALSE),)</f>
        <v>297023</v>
      </c>
      <c r="G18" s="4">
        <v>0</v>
      </c>
      <c r="I18" s="1"/>
    </row>
    <row r="19" spans="1:9" x14ac:dyDescent="0.25">
      <c r="A19" s="1" t="s">
        <v>21</v>
      </c>
      <c r="B19" s="5" t="str">
        <f>VLOOKUP(A19,'2017 Projected'!$A$9:$B$159,2,FALSE)</f>
        <v> CAM RECOVERY</v>
      </c>
      <c r="C19" s="4"/>
      <c r="D19" s="4"/>
      <c r="E19" s="4"/>
      <c r="F19" s="4">
        <f>_xlfn.IFNA(VLOOKUP(A19,'2017 Projected'!$A$10:$P$159,3,FALSE),)</f>
        <v>0</v>
      </c>
      <c r="G19" s="4"/>
      <c r="I19" s="1"/>
    </row>
    <row r="20" spans="1:9" x14ac:dyDescent="0.25">
      <c r="A20" s="1" t="s">
        <v>23</v>
      </c>
      <c r="B20" s="5" t="str">
        <f>VLOOKUP(A20,'2017 Projected'!$A$9:$B$159,2,FALSE)</f>
        <v> INSURANCE RECOVERY</v>
      </c>
      <c r="C20" s="4"/>
      <c r="D20" s="4"/>
      <c r="E20" s="4"/>
      <c r="F20" s="4">
        <f>_xlfn.IFNA(VLOOKUP(A20,'2017 Projected'!$A$10:$P$159,3,FALSE),)</f>
        <v>0</v>
      </c>
      <c r="G20" s="4"/>
      <c r="I20" s="1"/>
    </row>
    <row r="21" spans="1:9" x14ac:dyDescent="0.25">
      <c r="A21" s="1" t="s">
        <v>25</v>
      </c>
      <c r="B21" s="5" t="str">
        <f>VLOOKUP(A21,'2017 Projected'!$A$9:$B$159,2,FALSE)</f>
        <v> TAX RECOVERY</v>
      </c>
      <c r="C21" s="4"/>
      <c r="D21" s="4"/>
      <c r="E21" s="4"/>
      <c r="F21" s="4">
        <f>_xlfn.IFNA(VLOOKUP(A21,'2017 Projected'!$A$10:$P$159,3,FALSE),)</f>
        <v>0</v>
      </c>
      <c r="G21" s="4"/>
      <c r="I21" s="1"/>
    </row>
    <row r="22" spans="1:9" ht="15.75" thickBot="1" x14ac:dyDescent="0.3">
      <c r="A22" s="1" t="s">
        <v>27</v>
      </c>
      <c r="B22" s="5" t="s">
        <v>28</v>
      </c>
      <c r="C22" s="4"/>
      <c r="D22" s="4">
        <v>1201.32</v>
      </c>
      <c r="E22" s="4"/>
      <c r="F22" s="4">
        <f>_xlfn.IFNA(VLOOKUP(A22,'2017 Projected'!$A$10:$P$159,3,FALSE),)</f>
        <v>0</v>
      </c>
      <c r="G22" s="4">
        <v>0</v>
      </c>
      <c r="I22" s="1"/>
    </row>
    <row r="23" spans="1:9" ht="15.75" thickBot="1" x14ac:dyDescent="0.3">
      <c r="A23" s="1" t="s">
        <v>29</v>
      </c>
      <c r="B23" s="5" t="s">
        <v>30</v>
      </c>
      <c r="C23" s="8"/>
      <c r="D23" s="8">
        <v>27744.81</v>
      </c>
      <c r="E23" s="8"/>
      <c r="F23" s="4">
        <f>_xlfn.IFNA(VLOOKUP(A23,'2017 Projected'!$A$10:$P$159,3,FALSE),)</f>
        <v>489675</v>
      </c>
      <c r="G23" s="8">
        <v>0</v>
      </c>
      <c r="I23" s="1"/>
    </row>
    <row r="24" spans="1:9" x14ac:dyDescent="0.25">
      <c r="A24" s="1" t="s">
        <v>39</v>
      </c>
      <c r="B24" s="5" t="s">
        <v>40</v>
      </c>
      <c r="C24" s="8"/>
      <c r="D24" s="8">
        <v>104319.81</v>
      </c>
      <c r="E24" s="8"/>
      <c r="F24" s="8">
        <v>104319.81</v>
      </c>
      <c r="G24" s="8">
        <v>0</v>
      </c>
      <c r="I24" s="1"/>
    </row>
    <row r="25" spans="1:9" x14ac:dyDescent="0.25">
      <c r="A25" s="1"/>
      <c r="B25" s="5"/>
      <c r="C25" s="1"/>
      <c r="D25" s="1"/>
      <c r="E25" s="1"/>
      <c r="F25" s="1"/>
      <c r="G25" s="1"/>
      <c r="I25" s="1"/>
    </row>
    <row r="26" spans="1:9" x14ac:dyDescent="0.25">
      <c r="A26" s="1" t="s">
        <v>41</v>
      </c>
      <c r="B26" s="5" t="s">
        <v>42</v>
      </c>
      <c r="C26" s="9"/>
      <c r="D26" s="9"/>
      <c r="E26" s="9"/>
      <c r="F26" s="9"/>
      <c r="G26" s="9"/>
      <c r="I26" s="1"/>
    </row>
    <row r="27" spans="1:9" x14ac:dyDescent="0.25">
      <c r="A27" s="1" t="s">
        <v>43</v>
      </c>
      <c r="B27" s="5" t="s">
        <v>44</v>
      </c>
      <c r="C27" s="9"/>
      <c r="D27" s="9"/>
      <c r="E27" s="9"/>
      <c r="F27" s="9"/>
      <c r="G27" s="9"/>
      <c r="I27" s="1"/>
    </row>
    <row r="28" spans="1:9" x14ac:dyDescent="0.25">
      <c r="A28" s="1" t="s">
        <v>196</v>
      </c>
      <c r="B28" s="5" t="s">
        <v>195</v>
      </c>
      <c r="C28" s="4"/>
      <c r="D28" s="4">
        <v>240.75</v>
      </c>
      <c r="E28" s="4"/>
      <c r="F28" s="4">
        <f>_xlfn.IFNA(VLOOKUP(A28,'2017 Projected'!$A$10:$P$159,3,FALSE),)</f>
        <v>892</v>
      </c>
      <c r="G28" s="4">
        <v>0</v>
      </c>
      <c r="I28" s="1"/>
    </row>
    <row r="29" spans="1:9" x14ac:dyDescent="0.25">
      <c r="A29" s="1" t="s">
        <v>49</v>
      </c>
      <c r="B29" s="5" t="s">
        <v>50</v>
      </c>
      <c r="C29" s="4"/>
      <c r="D29" s="4">
        <v>4280</v>
      </c>
      <c r="E29" s="4"/>
      <c r="F29" s="4">
        <f>_xlfn.IFNA(VLOOKUP(A29,'2017 Projected'!$A$10:$P$159,3,FALSE),)</f>
        <v>3806</v>
      </c>
      <c r="G29" s="4">
        <v>0</v>
      </c>
      <c r="I29" s="1"/>
    </row>
    <row r="30" spans="1:9" x14ac:dyDescent="0.25">
      <c r="A30" s="1" t="s">
        <v>194</v>
      </c>
      <c r="B30" s="5" t="s">
        <v>193</v>
      </c>
      <c r="C30" s="4"/>
      <c r="D30" s="4">
        <v>22.61</v>
      </c>
      <c r="E30" s="4"/>
      <c r="F30" s="4">
        <f>_xlfn.IFNA(VLOOKUP(A30,'2017 Projected'!$A$10:$P$159,3,FALSE),)</f>
        <v>0</v>
      </c>
      <c r="G30" s="4">
        <v>0</v>
      </c>
      <c r="I30" s="1"/>
    </row>
    <row r="31" spans="1:9" x14ac:dyDescent="0.25">
      <c r="A31" s="1" t="s">
        <v>53</v>
      </c>
      <c r="B31" s="5" t="s">
        <v>54</v>
      </c>
      <c r="C31" s="4"/>
      <c r="D31" s="4">
        <v>2450.0700000000002</v>
      </c>
      <c r="E31" s="4"/>
      <c r="F31" s="4">
        <f>_xlfn.IFNA(VLOOKUP(A31,'2017 Projected'!$A$10:$P$159,3,FALSE),)</f>
        <v>13300</v>
      </c>
      <c r="G31" s="4">
        <v>0</v>
      </c>
      <c r="I31" s="1"/>
    </row>
    <row r="32" spans="1:9" x14ac:dyDescent="0.25">
      <c r="A32" s="1" t="s">
        <v>55</v>
      </c>
      <c r="B32" s="5" t="s">
        <v>56</v>
      </c>
      <c r="C32" s="4"/>
      <c r="D32" s="4">
        <v>1460.72</v>
      </c>
      <c r="E32" s="4"/>
      <c r="F32" s="4">
        <f>_xlfn.IFNA(VLOOKUP(A32,'2017 Projected'!$A$10:$P$159,3,FALSE),)</f>
        <v>906</v>
      </c>
      <c r="G32" s="4">
        <v>0</v>
      </c>
      <c r="I32" s="1"/>
    </row>
    <row r="33" spans="1:9" ht="15.75" thickBot="1" x14ac:dyDescent="0.3">
      <c r="A33" s="1" t="s">
        <v>57</v>
      </c>
      <c r="B33" s="5" t="s">
        <v>58</v>
      </c>
      <c r="C33" s="4"/>
      <c r="D33" s="4">
        <v>1252.0899999999999</v>
      </c>
      <c r="E33" s="4"/>
      <c r="F33" s="4">
        <f>_xlfn.IFNA(VLOOKUP(A33,'2017 Projected'!$A$10:$P$159,3,FALSE),)</f>
        <v>1218</v>
      </c>
      <c r="G33" s="4">
        <v>0</v>
      </c>
      <c r="I33" s="1"/>
    </row>
    <row r="34" spans="1:9" x14ac:dyDescent="0.25">
      <c r="A34" s="1" t="s">
        <v>59</v>
      </c>
      <c r="B34" s="5" t="s">
        <v>60</v>
      </c>
      <c r="C34" s="8"/>
      <c r="D34" s="8">
        <v>9706.24</v>
      </c>
      <c r="E34" s="8"/>
      <c r="F34" s="8">
        <v>9706.24</v>
      </c>
      <c r="G34" s="8">
        <v>0</v>
      </c>
      <c r="I34" s="1"/>
    </row>
    <row r="35" spans="1:9" x14ac:dyDescent="0.25">
      <c r="A35" s="1" t="s">
        <v>61</v>
      </c>
      <c r="B35" s="5" t="s">
        <v>62</v>
      </c>
      <c r="C35" s="9"/>
      <c r="D35" s="9"/>
      <c r="E35" s="9"/>
      <c r="F35" s="9"/>
      <c r="G35" s="9"/>
      <c r="I35" s="1"/>
    </row>
    <row r="36" spans="1:9" x14ac:dyDescent="0.25">
      <c r="A36" s="1"/>
      <c r="B36" s="5"/>
      <c r="C36" s="9"/>
      <c r="D36" s="9"/>
      <c r="E36" s="9"/>
      <c r="F36" s="9"/>
      <c r="G36" s="9"/>
      <c r="I36" s="1"/>
    </row>
    <row r="37" spans="1:9" x14ac:dyDescent="0.25">
      <c r="A37" s="1"/>
      <c r="B37" s="5"/>
      <c r="C37" s="9"/>
      <c r="D37" s="9"/>
      <c r="E37" s="9"/>
      <c r="F37" s="9"/>
      <c r="G37" s="9"/>
      <c r="I37" s="1"/>
    </row>
    <row r="38" spans="1:9" x14ac:dyDescent="0.25">
      <c r="A38" s="1"/>
      <c r="B38" s="5"/>
      <c r="C38" s="9"/>
      <c r="D38" s="9"/>
      <c r="E38" s="9"/>
      <c r="F38" s="9"/>
      <c r="G38" s="9"/>
      <c r="I38" s="1"/>
    </row>
    <row r="39" spans="1:9" x14ac:dyDescent="0.25">
      <c r="A39" s="1"/>
      <c r="B39" s="5"/>
      <c r="C39" s="9"/>
      <c r="D39" s="9"/>
      <c r="E39" s="9"/>
      <c r="F39" s="9"/>
      <c r="G39" s="9"/>
      <c r="I39" s="1"/>
    </row>
    <row r="40" spans="1:9" x14ac:dyDescent="0.25">
      <c r="A40" s="1" t="s">
        <v>73</v>
      </c>
      <c r="B40" s="5" t="s">
        <v>74</v>
      </c>
      <c r="C40" s="4"/>
      <c r="D40" s="4">
        <v>570</v>
      </c>
      <c r="E40" s="4"/>
      <c r="F40" s="4">
        <f>_xlfn.IFNA(VLOOKUP(A40,'2017 Projected'!$A$10:$P$159,3,FALSE),)</f>
        <v>12120</v>
      </c>
      <c r="G40" s="4">
        <v>0</v>
      </c>
      <c r="I40" s="1"/>
    </row>
    <row r="41" spans="1:9" x14ac:dyDescent="0.25">
      <c r="A41" s="1" t="s">
        <v>192</v>
      </c>
      <c r="B41" s="5" t="s">
        <v>191</v>
      </c>
      <c r="C41" s="4"/>
      <c r="D41" s="4">
        <v>-251.33</v>
      </c>
      <c r="E41" s="4"/>
      <c r="F41" s="4">
        <f>_xlfn.IFNA(VLOOKUP(A41,'2017 Projected'!$A$10:$P$159,3,FALSE),)</f>
        <v>0</v>
      </c>
      <c r="G41" s="4">
        <v>0</v>
      </c>
      <c r="I41" s="1"/>
    </row>
    <row r="42" spans="1:9" x14ac:dyDescent="0.25">
      <c r="A42" s="1" t="s">
        <v>79</v>
      </c>
      <c r="B42" s="5" t="s">
        <v>80</v>
      </c>
      <c r="C42" s="4"/>
      <c r="D42" s="4">
        <v>42.49</v>
      </c>
      <c r="E42" s="4"/>
      <c r="F42" s="4">
        <f>_xlfn.IFNA(VLOOKUP(A42,'2017 Projected'!$A$10:$P$159,3,FALSE),)</f>
        <v>0</v>
      </c>
      <c r="G42" s="4">
        <v>0</v>
      </c>
      <c r="I42" s="1"/>
    </row>
    <row r="43" spans="1:9" x14ac:dyDescent="0.25">
      <c r="A43" s="1" t="s">
        <v>81</v>
      </c>
      <c r="B43" s="5" t="s">
        <v>82</v>
      </c>
      <c r="C43" s="4"/>
      <c r="D43" s="4">
        <v>372.65</v>
      </c>
      <c r="E43" s="4"/>
      <c r="F43" s="4">
        <f>_xlfn.IFNA(VLOOKUP(A43,'2017 Projected'!$A$10:$P$159,3,FALSE),)</f>
        <v>0</v>
      </c>
      <c r="G43" s="4">
        <v>0</v>
      </c>
      <c r="I43" s="1"/>
    </row>
    <row r="44" spans="1:9" x14ac:dyDescent="0.25">
      <c r="A44" s="1" t="s">
        <v>85</v>
      </c>
      <c r="B44" s="5" t="s">
        <v>86</v>
      </c>
      <c r="C44" s="4"/>
      <c r="D44" s="4">
        <v>15</v>
      </c>
      <c r="E44" s="4"/>
      <c r="F44" s="4">
        <f>_xlfn.IFNA(VLOOKUP(A44,'2017 Projected'!$A$10:$P$159,3,FALSE),)</f>
        <v>0</v>
      </c>
      <c r="G44" s="4">
        <v>0</v>
      </c>
      <c r="I44" s="1"/>
    </row>
    <row r="45" spans="1:9" x14ac:dyDescent="0.25">
      <c r="A45" s="1" t="s">
        <v>87</v>
      </c>
      <c r="B45" s="5" t="s">
        <v>88</v>
      </c>
      <c r="C45" s="4"/>
      <c r="D45" s="4">
        <v>3372.2</v>
      </c>
      <c r="E45" s="4"/>
      <c r="F45" s="4">
        <f>_xlfn.IFNA(VLOOKUP(A45,'2017 Projected'!$A$10:$P$159,3,FALSE),)</f>
        <v>3654</v>
      </c>
      <c r="G45" s="4">
        <v>0</v>
      </c>
      <c r="I45" s="1"/>
    </row>
    <row r="46" spans="1:9" x14ac:dyDescent="0.25">
      <c r="A46" s="1" t="s">
        <v>89</v>
      </c>
      <c r="B46" s="5" t="s">
        <v>90</v>
      </c>
      <c r="C46" s="4"/>
      <c r="D46" s="4">
        <v>900</v>
      </c>
      <c r="E46" s="4"/>
      <c r="F46" s="4">
        <f>_xlfn.IFNA(VLOOKUP(A46,'2017 Projected'!$A$10:$P$159,3,FALSE),)</f>
        <v>3600</v>
      </c>
      <c r="G46" s="4">
        <v>0</v>
      </c>
      <c r="I46" s="1"/>
    </row>
    <row r="47" spans="1:9" ht="15.75" thickBot="1" x14ac:dyDescent="0.3">
      <c r="A47" s="1"/>
      <c r="B47" s="5"/>
      <c r="C47" s="1"/>
      <c r="D47" s="1"/>
      <c r="E47" s="1"/>
      <c r="F47" s="1"/>
      <c r="G47" s="1"/>
      <c r="I47" s="1"/>
    </row>
    <row r="48" spans="1:9" x14ac:dyDescent="0.25">
      <c r="A48" s="1" t="s">
        <v>93</v>
      </c>
      <c r="B48" s="5" t="s">
        <v>94</v>
      </c>
      <c r="C48" s="8"/>
      <c r="D48" s="8">
        <v>5021.01</v>
      </c>
      <c r="E48" s="8"/>
      <c r="F48" s="8">
        <v>5021.01</v>
      </c>
      <c r="G48" s="8">
        <v>0</v>
      </c>
      <c r="I48" s="1"/>
    </row>
    <row r="49" spans="1:9" x14ac:dyDescent="0.25">
      <c r="A49" s="1"/>
      <c r="B49" s="5"/>
      <c r="C49" s="1"/>
      <c r="D49" s="1"/>
      <c r="E49" s="1"/>
      <c r="F49" s="1"/>
      <c r="G49" s="1"/>
      <c r="I49" s="1"/>
    </row>
    <row r="50" spans="1:9" x14ac:dyDescent="0.25">
      <c r="A50" s="1" t="s">
        <v>95</v>
      </c>
      <c r="B50" s="5" t="s">
        <v>96</v>
      </c>
      <c r="C50" s="9"/>
      <c r="D50" s="9"/>
      <c r="E50" s="9"/>
      <c r="F50" s="9"/>
      <c r="G50" s="9"/>
      <c r="I50" s="1"/>
    </row>
    <row r="51" spans="1:9" x14ac:dyDescent="0.25">
      <c r="A51" s="1" t="s">
        <v>97</v>
      </c>
      <c r="B51" s="5" t="s">
        <v>98</v>
      </c>
      <c r="C51" s="4"/>
      <c r="D51" s="4">
        <v>93.94</v>
      </c>
      <c r="E51" s="4"/>
      <c r="F51" s="4">
        <f>_xlfn.IFNA(VLOOKUP(A51,'2017 Projected'!$A$10:$P$159,3,FALSE),)</f>
        <v>35</v>
      </c>
      <c r="G51" s="4">
        <v>0</v>
      </c>
      <c r="I51" s="1"/>
    </row>
    <row r="52" spans="1:9" x14ac:dyDescent="0.25">
      <c r="A52" s="1" t="s">
        <v>99</v>
      </c>
      <c r="B52" s="5" t="s">
        <v>100</v>
      </c>
      <c r="C52" s="4"/>
      <c r="D52" s="4">
        <v>311.60000000000002</v>
      </c>
      <c r="E52" s="4"/>
      <c r="F52" s="4">
        <f>_xlfn.IFNA(VLOOKUP(A52,'2017 Projected'!$A$10:$P$159,3,FALSE),)</f>
        <v>1932</v>
      </c>
      <c r="G52" s="4">
        <v>0</v>
      </c>
      <c r="I52" s="1"/>
    </row>
    <row r="53" spans="1:9" x14ac:dyDescent="0.25">
      <c r="A53" s="1" t="s">
        <v>101</v>
      </c>
      <c r="B53" s="5" t="s">
        <v>102</v>
      </c>
      <c r="C53" s="4"/>
      <c r="D53" s="4">
        <v>251</v>
      </c>
      <c r="E53" s="4"/>
      <c r="F53" s="4">
        <f>_xlfn.IFNA(VLOOKUP(A53,'2017 Projected'!$A$10:$P$159,3,FALSE),)</f>
        <v>0</v>
      </c>
      <c r="G53" s="4">
        <v>0</v>
      </c>
      <c r="I53" s="1"/>
    </row>
    <row r="54" spans="1:9" x14ac:dyDescent="0.25">
      <c r="A54" s="1" t="s">
        <v>103</v>
      </c>
      <c r="B54" s="5" t="s">
        <v>104</v>
      </c>
      <c r="C54" s="4"/>
      <c r="D54" s="4">
        <v>35.04</v>
      </c>
      <c r="E54" s="4"/>
      <c r="F54" s="4">
        <f>_xlfn.IFNA(VLOOKUP(A54,'2017 Projected'!$A$10:$P$159,3,FALSE),)</f>
        <v>329</v>
      </c>
      <c r="G54" s="4">
        <v>0</v>
      </c>
      <c r="I54" s="1"/>
    </row>
    <row r="55" spans="1:9" ht="15.75" thickBot="1" x14ac:dyDescent="0.3">
      <c r="A55" s="1"/>
      <c r="B55" s="5"/>
      <c r="C55" s="1"/>
      <c r="D55" s="1"/>
      <c r="E55" s="1"/>
      <c r="F55" s="1"/>
      <c r="G55" s="1"/>
      <c r="I55" s="1"/>
    </row>
    <row r="56" spans="1:9" x14ac:dyDescent="0.25">
      <c r="A56" s="1" t="s">
        <v>105</v>
      </c>
      <c r="B56" s="5" t="s">
        <v>106</v>
      </c>
      <c r="C56" s="8"/>
      <c r="D56" s="8">
        <v>691.58</v>
      </c>
      <c r="E56" s="8"/>
      <c r="F56" s="8">
        <v>691.58</v>
      </c>
      <c r="G56" s="8">
        <v>0</v>
      </c>
      <c r="I56" s="1"/>
    </row>
    <row r="57" spans="1:9" x14ac:dyDescent="0.25">
      <c r="A57" s="1"/>
      <c r="B57" s="5"/>
      <c r="C57" s="1"/>
      <c r="D57" s="1"/>
      <c r="E57" s="1"/>
      <c r="F57" s="1"/>
      <c r="G57" s="1"/>
      <c r="I57" s="1"/>
    </row>
    <row r="58" spans="1:9" x14ac:dyDescent="0.25">
      <c r="A58" s="1" t="s">
        <v>107</v>
      </c>
      <c r="B58" s="5" t="s">
        <v>108</v>
      </c>
      <c r="C58" s="9"/>
      <c r="D58" s="9"/>
      <c r="E58" s="9"/>
      <c r="F58" s="9"/>
      <c r="G58" s="9"/>
      <c r="I58" s="1"/>
    </row>
    <row r="59" spans="1:9" x14ac:dyDescent="0.25">
      <c r="A59" s="1" t="s">
        <v>109</v>
      </c>
      <c r="B59" s="5" t="s">
        <v>110</v>
      </c>
      <c r="C59" s="4"/>
      <c r="D59" s="4">
        <v>27555.56</v>
      </c>
      <c r="E59" s="4"/>
      <c r="F59" s="4">
        <f>_xlfn.IFNA(VLOOKUP(A59,'2017 Projected'!$A$10:$P$159,3,FALSE),)</f>
        <v>68661</v>
      </c>
      <c r="G59" s="4">
        <v>0</v>
      </c>
      <c r="I59" s="1"/>
    </row>
    <row r="60" spans="1:9" ht="15.75" thickBot="1" x14ac:dyDescent="0.3">
      <c r="A60" s="1"/>
      <c r="B60" s="5"/>
      <c r="C60" s="1"/>
      <c r="D60" s="1"/>
      <c r="E60" s="1"/>
      <c r="F60" s="1"/>
      <c r="G60" s="1"/>
      <c r="I60" s="1"/>
    </row>
    <row r="61" spans="1:9" x14ac:dyDescent="0.25">
      <c r="A61" s="1" t="s">
        <v>111</v>
      </c>
      <c r="B61" s="5" t="s">
        <v>112</v>
      </c>
      <c r="C61" s="8"/>
      <c r="D61" s="8">
        <v>27555.56</v>
      </c>
      <c r="E61" s="8"/>
      <c r="F61" s="8">
        <v>27555.56</v>
      </c>
      <c r="G61" s="8">
        <v>0</v>
      </c>
      <c r="I61" s="1"/>
    </row>
    <row r="62" spans="1:9" x14ac:dyDescent="0.25">
      <c r="A62" s="1"/>
      <c r="B62" s="5"/>
      <c r="C62" s="1"/>
      <c r="D62" s="1"/>
      <c r="E62" s="1"/>
      <c r="F62" s="1"/>
      <c r="G62" s="1"/>
      <c r="I62" s="1"/>
    </row>
    <row r="63" spans="1:9" ht="15.75" thickBot="1" x14ac:dyDescent="0.3">
      <c r="A63" s="1"/>
      <c r="B63" s="5"/>
      <c r="C63" s="1"/>
      <c r="D63" s="1"/>
      <c r="E63" s="1"/>
      <c r="F63" s="1"/>
      <c r="G63" s="1"/>
      <c r="I63" s="1"/>
    </row>
    <row r="64" spans="1:9" x14ac:dyDescent="0.25">
      <c r="A64" s="1" t="s">
        <v>113</v>
      </c>
      <c r="B64" s="5" t="s">
        <v>114</v>
      </c>
      <c r="C64" s="8"/>
      <c r="D64" s="8">
        <v>42974.39</v>
      </c>
      <c r="E64" s="8"/>
      <c r="F64" s="8">
        <v>42974.39</v>
      </c>
      <c r="G64" s="8">
        <v>0</v>
      </c>
      <c r="I64" s="1"/>
    </row>
    <row r="65" spans="1:9" x14ac:dyDescent="0.25">
      <c r="A65" s="1"/>
      <c r="B65" s="5"/>
      <c r="C65" s="1"/>
      <c r="D65" s="1"/>
      <c r="E65" s="1"/>
      <c r="F65" s="1"/>
      <c r="G65" s="1"/>
      <c r="I65" s="1"/>
    </row>
    <row r="66" spans="1:9" ht="15.75" thickBot="1" x14ac:dyDescent="0.3">
      <c r="A66" s="1"/>
      <c r="B66" s="5"/>
      <c r="C66" s="1"/>
      <c r="D66" s="1"/>
      <c r="E66" s="1"/>
      <c r="F66" s="1"/>
      <c r="G66" s="1"/>
      <c r="I66" s="1"/>
    </row>
    <row r="67" spans="1:9" x14ac:dyDescent="0.25">
      <c r="A67" s="1" t="s">
        <v>115</v>
      </c>
      <c r="B67" s="5" t="s">
        <v>116</v>
      </c>
      <c r="C67" s="8"/>
      <c r="D67" s="8">
        <v>61345.42</v>
      </c>
      <c r="E67" s="8"/>
      <c r="F67" s="8">
        <v>61345.42</v>
      </c>
      <c r="G67" s="8">
        <v>0</v>
      </c>
      <c r="I67" s="1"/>
    </row>
    <row r="68" spans="1:9" x14ac:dyDescent="0.25">
      <c r="A68" s="1"/>
      <c r="B68" s="5"/>
      <c r="C68" s="1"/>
      <c r="D68" s="1"/>
      <c r="E68" s="1"/>
      <c r="F68" s="1"/>
      <c r="G68" s="1"/>
      <c r="I68" s="1"/>
    </row>
    <row r="69" spans="1:9" x14ac:dyDescent="0.25">
      <c r="A69" s="1"/>
      <c r="B69" s="5" t="s">
        <v>117</v>
      </c>
      <c r="C69" s="9"/>
      <c r="D69" s="9"/>
      <c r="E69" s="9"/>
      <c r="F69" s="9"/>
      <c r="G69" s="9"/>
      <c r="I69" s="1"/>
    </row>
    <row r="70" spans="1:9" x14ac:dyDescent="0.25">
      <c r="A70" s="1" t="s">
        <v>118</v>
      </c>
      <c r="B70" s="5" t="s">
        <v>119</v>
      </c>
      <c r="C70" s="4"/>
      <c r="D70" s="4">
        <v>-13944.84</v>
      </c>
      <c r="E70" s="4"/>
      <c r="F70" s="4">
        <f>_xlfn.IFNA(VLOOKUP(A70,'2017 Projected'!$A$10:$P$159,3,FALSE),)</f>
        <v>-76800</v>
      </c>
      <c r="G70" s="4">
        <v>0</v>
      </c>
      <c r="I70" s="1"/>
    </row>
    <row r="71" spans="1:9" ht="15.75" thickBot="1" x14ac:dyDescent="0.3">
      <c r="A71" s="1"/>
      <c r="B71" s="5"/>
      <c r="C71" s="1"/>
      <c r="D71" s="1"/>
      <c r="E71" s="1"/>
      <c r="F71" s="1"/>
      <c r="G71" s="1"/>
      <c r="I71" s="1"/>
    </row>
    <row r="72" spans="1:9" x14ac:dyDescent="0.25">
      <c r="A72" s="1" t="s">
        <v>120</v>
      </c>
      <c r="B72" s="5" t="s">
        <v>121</v>
      </c>
      <c r="C72" s="8"/>
      <c r="D72" s="8">
        <v>-13944.84</v>
      </c>
      <c r="E72" s="8"/>
      <c r="F72" s="8">
        <v>-13944.84</v>
      </c>
      <c r="G72" s="8">
        <v>0</v>
      </c>
      <c r="I72" s="1"/>
    </row>
    <row r="73" spans="1:9" x14ac:dyDescent="0.25">
      <c r="A73" s="1" t="s">
        <v>122</v>
      </c>
      <c r="B73" s="5" t="s">
        <v>123</v>
      </c>
      <c r="C73" s="9"/>
      <c r="D73" s="9"/>
      <c r="E73" s="9"/>
      <c r="F73" s="9"/>
      <c r="G73" s="9"/>
      <c r="I73" s="1"/>
    </row>
    <row r="74" spans="1:9" ht="15.75" thickBot="1" x14ac:dyDescent="0.3">
      <c r="A74" s="1" t="s">
        <v>124</v>
      </c>
      <c r="B74" s="5" t="s">
        <v>125</v>
      </c>
      <c r="C74" s="4"/>
      <c r="D74" s="4">
        <v>-7935</v>
      </c>
      <c r="E74" s="4"/>
      <c r="F74" s="4">
        <f>_xlfn.IFNA(VLOOKUP(A74,'2017 Projected'!$A$10:$P$159,3,FALSE),)</f>
        <v>0</v>
      </c>
      <c r="G74" s="4">
        <v>0</v>
      </c>
      <c r="I74" s="1"/>
    </row>
    <row r="75" spans="1:9" x14ac:dyDescent="0.25">
      <c r="A75" s="1" t="s">
        <v>128</v>
      </c>
      <c r="B75" s="5" t="s">
        <v>129</v>
      </c>
      <c r="C75" s="8"/>
      <c r="D75" s="8">
        <v>-7935</v>
      </c>
      <c r="E75" s="8"/>
      <c r="F75" s="8">
        <v>-7935</v>
      </c>
      <c r="G75" s="8">
        <v>0</v>
      </c>
      <c r="I75" s="1"/>
    </row>
    <row r="76" spans="1:9" x14ac:dyDescent="0.25">
      <c r="A76" s="1"/>
      <c r="B76" s="5"/>
      <c r="C76" s="1"/>
      <c r="D76" s="1"/>
      <c r="E76" s="1"/>
      <c r="F76" s="1"/>
      <c r="G76" s="1"/>
      <c r="I76" s="1"/>
    </row>
    <row r="77" spans="1:9" x14ac:dyDescent="0.25">
      <c r="A77" s="1" t="s">
        <v>130</v>
      </c>
      <c r="B77" s="5" t="s">
        <v>131</v>
      </c>
      <c r="C77" s="9"/>
      <c r="D77" s="9"/>
      <c r="E77" s="9"/>
      <c r="F77" s="9"/>
      <c r="G77" s="9"/>
      <c r="I77" s="1"/>
    </row>
    <row r="78" spans="1:9" x14ac:dyDescent="0.25">
      <c r="A78" s="1" t="s">
        <v>134</v>
      </c>
      <c r="B78" s="5" t="s">
        <v>135</v>
      </c>
      <c r="C78" s="4"/>
      <c r="D78" s="4">
        <v>-15419.53</v>
      </c>
      <c r="E78" s="4"/>
      <c r="F78" s="4">
        <f>_xlfn.IFNA(VLOOKUP(A78,'2017 Projected'!$A$10:$P$159,3,FALSE),)</f>
        <v>0</v>
      </c>
      <c r="G78" s="4">
        <v>0</v>
      </c>
      <c r="I78" s="1"/>
    </row>
    <row r="79" spans="1:9" ht="15.75" thickBot="1" x14ac:dyDescent="0.3">
      <c r="A79" s="1"/>
      <c r="B79" s="5"/>
      <c r="C79" s="1"/>
      <c r="D79" s="1"/>
      <c r="E79" s="1"/>
      <c r="F79" s="1"/>
      <c r="G79" s="1"/>
      <c r="I79" s="1"/>
    </row>
    <row r="80" spans="1:9" x14ac:dyDescent="0.25">
      <c r="A80" s="1" t="s">
        <v>136</v>
      </c>
      <c r="B80" s="5" t="s">
        <v>137</v>
      </c>
      <c r="C80" s="8"/>
      <c r="D80" s="8">
        <v>-15419.53</v>
      </c>
      <c r="E80" s="8"/>
      <c r="F80" s="8">
        <v>-15419.53</v>
      </c>
      <c r="G80" s="8">
        <v>0</v>
      </c>
      <c r="I80" s="1"/>
    </row>
    <row r="81" spans="1:9" x14ac:dyDescent="0.25">
      <c r="A81" s="1"/>
      <c r="B81" s="5"/>
      <c r="C81" s="1"/>
      <c r="D81" s="1"/>
      <c r="E81" s="1"/>
      <c r="F81" s="1"/>
      <c r="G81" s="1"/>
      <c r="I81" s="1"/>
    </row>
    <row r="82" spans="1:9" ht="15.75" thickBot="1" x14ac:dyDescent="0.3">
      <c r="A82" s="1"/>
      <c r="B82" s="5"/>
      <c r="C82" s="1"/>
      <c r="D82" s="1"/>
      <c r="E82" s="1"/>
      <c r="F82" s="1"/>
      <c r="G82" s="1"/>
      <c r="I82" s="1"/>
    </row>
    <row r="83" spans="1:9" x14ac:dyDescent="0.25">
      <c r="A83" s="1" t="s">
        <v>138</v>
      </c>
      <c r="B83" s="5" t="s">
        <v>139</v>
      </c>
      <c r="C83" s="8"/>
      <c r="D83" s="8">
        <v>-37299.370000000003</v>
      </c>
      <c r="E83" s="8"/>
      <c r="F83" s="8">
        <v>-37299.370000000003</v>
      </c>
      <c r="G83" s="8">
        <v>0</v>
      </c>
      <c r="I83" s="1"/>
    </row>
    <row r="84" spans="1:9" x14ac:dyDescent="0.25">
      <c r="A84" s="1"/>
      <c r="B84" s="5"/>
      <c r="C84" s="1"/>
      <c r="D84" s="1"/>
      <c r="E84" s="1"/>
      <c r="F84" s="1"/>
      <c r="G84" s="1"/>
      <c r="I84" s="1"/>
    </row>
    <row r="85" spans="1:9" x14ac:dyDescent="0.25">
      <c r="A85" s="1" t="s">
        <v>140</v>
      </c>
      <c r="B85" s="5" t="s">
        <v>141</v>
      </c>
      <c r="C85" s="9"/>
      <c r="D85" s="9"/>
      <c r="E85" s="9"/>
      <c r="F85" s="9"/>
      <c r="G85" s="9"/>
      <c r="I85" s="1"/>
    </row>
    <row r="86" spans="1:9" x14ac:dyDescent="0.25">
      <c r="A86" s="1" t="s">
        <v>142</v>
      </c>
      <c r="B86" s="5" t="s">
        <v>143</v>
      </c>
      <c r="C86" s="4"/>
      <c r="D86" s="4">
        <v>-426.72</v>
      </c>
      <c r="E86" s="4"/>
      <c r="F86" s="4">
        <f>_xlfn.IFNA(VLOOKUP(A86,'2017 Projected'!$A$10:$P$159,3,FALSE),)</f>
        <v>0</v>
      </c>
      <c r="G86" s="4">
        <v>0</v>
      </c>
      <c r="I86" s="1"/>
    </row>
    <row r="87" spans="1:9" x14ac:dyDescent="0.25">
      <c r="A87" s="1" t="s">
        <v>144</v>
      </c>
      <c r="B87" s="5" t="s">
        <v>145</v>
      </c>
      <c r="C87" s="4"/>
      <c r="D87" s="4">
        <v>3355</v>
      </c>
      <c r="E87" s="4"/>
      <c r="F87" s="4">
        <f>_xlfn.IFNA(VLOOKUP(A87,'2017 Projected'!$A$10:$P$159,3,FALSE),)</f>
        <v>0</v>
      </c>
      <c r="G87" s="4">
        <v>0</v>
      </c>
      <c r="I87" s="1"/>
    </row>
    <row r="88" spans="1:9" ht="15.75" thickBot="1" x14ac:dyDescent="0.3">
      <c r="A88" s="1" t="s">
        <v>190</v>
      </c>
      <c r="B88" s="5" t="s">
        <v>189</v>
      </c>
      <c r="C88" s="4"/>
      <c r="D88" s="4">
        <v>6710</v>
      </c>
      <c r="E88" s="4"/>
      <c r="F88" s="4">
        <f>_xlfn.IFNA(VLOOKUP(A88,'2017 Projected'!$A$10:$P$159,3,FALSE),)</f>
        <v>0</v>
      </c>
      <c r="G88" s="4">
        <v>0</v>
      </c>
      <c r="I88" s="1"/>
    </row>
    <row r="89" spans="1:9" x14ac:dyDescent="0.25">
      <c r="A89" s="1" t="s">
        <v>146</v>
      </c>
      <c r="B89" s="5" t="s">
        <v>147</v>
      </c>
      <c r="C89" s="8"/>
      <c r="D89" s="8">
        <v>9638.2800000000007</v>
      </c>
      <c r="E89" s="8"/>
      <c r="F89" s="8">
        <v>9638.2800000000007</v>
      </c>
      <c r="G89" s="8">
        <v>0</v>
      </c>
      <c r="I89" s="1"/>
    </row>
    <row r="90" spans="1:9" ht="15.75" thickBot="1" x14ac:dyDescent="0.3">
      <c r="A90" s="1" t="s">
        <v>148</v>
      </c>
      <c r="B90" s="5" t="s">
        <v>149</v>
      </c>
      <c r="C90" s="9"/>
      <c r="D90" s="9"/>
      <c r="E90" s="9"/>
      <c r="F90" s="9"/>
      <c r="G90" s="9"/>
      <c r="I90" s="1"/>
    </row>
    <row r="91" spans="1:9" x14ac:dyDescent="0.25">
      <c r="A91" s="1" t="s">
        <v>153</v>
      </c>
      <c r="B91" s="5" t="s">
        <v>154</v>
      </c>
      <c r="C91" s="8"/>
      <c r="D91" s="8">
        <v>0</v>
      </c>
      <c r="E91" s="8"/>
      <c r="F91" s="8">
        <v>0</v>
      </c>
      <c r="G91" s="8">
        <v>0</v>
      </c>
      <c r="I91" s="1"/>
    </row>
    <row r="92" spans="1:9" ht="15.75" thickBot="1" x14ac:dyDescent="0.3">
      <c r="A92" s="1" t="s">
        <v>155</v>
      </c>
      <c r="B92" s="5" t="s">
        <v>156</v>
      </c>
      <c r="C92" s="9"/>
      <c r="D92" s="9"/>
      <c r="E92" s="9"/>
      <c r="F92" s="9"/>
      <c r="G92" s="9"/>
      <c r="I92" s="1"/>
    </row>
    <row r="93" spans="1:9" x14ac:dyDescent="0.25">
      <c r="A93" s="1" t="s">
        <v>160</v>
      </c>
      <c r="B93" s="5" t="s">
        <v>161</v>
      </c>
      <c r="C93" s="8"/>
      <c r="D93" s="8">
        <v>0</v>
      </c>
      <c r="E93" s="8"/>
      <c r="F93" s="8">
        <v>0</v>
      </c>
      <c r="G93" s="8">
        <v>0</v>
      </c>
      <c r="I93" s="1"/>
    </row>
    <row r="94" spans="1:9" ht="15.75" thickBot="1" x14ac:dyDescent="0.3">
      <c r="A94" s="1"/>
      <c r="B94" s="5"/>
      <c r="C94" s="1"/>
      <c r="D94" s="1"/>
      <c r="E94" s="1"/>
      <c r="F94" s="1"/>
      <c r="G94" s="1"/>
      <c r="I94" s="1"/>
    </row>
    <row r="95" spans="1:9" x14ac:dyDescent="0.25">
      <c r="A95" s="1"/>
      <c r="B95" s="5" t="s">
        <v>162</v>
      </c>
      <c r="C95" s="8"/>
      <c r="D95" s="8">
        <v>-27661.09</v>
      </c>
      <c r="E95" s="8"/>
      <c r="F95" s="8">
        <v>-27661.09</v>
      </c>
      <c r="G95" s="8">
        <v>0</v>
      </c>
      <c r="I95" s="1"/>
    </row>
    <row r="96" spans="1:9" ht="15.75" thickBot="1" x14ac:dyDescent="0.3">
      <c r="A96" s="1"/>
      <c r="B96" s="5"/>
      <c r="C96" s="1"/>
      <c r="D96" s="1"/>
      <c r="E96" s="1"/>
      <c r="F96" s="1"/>
      <c r="G96" s="1"/>
      <c r="I96" s="1"/>
    </row>
    <row r="97" spans="1:9" x14ac:dyDescent="0.25">
      <c r="A97" s="1"/>
      <c r="B97" s="5" t="s">
        <v>163</v>
      </c>
      <c r="C97" s="8"/>
      <c r="D97" s="8">
        <v>33684.33</v>
      </c>
      <c r="E97" s="8"/>
      <c r="F97" s="8">
        <v>33684.33</v>
      </c>
      <c r="G97" s="8">
        <v>0</v>
      </c>
      <c r="I97" s="1"/>
    </row>
    <row r="98" spans="1:9" x14ac:dyDescent="0.25">
      <c r="A98" s="230"/>
      <c r="B98" s="230"/>
      <c r="C98" s="230"/>
      <c r="D98" s="230"/>
      <c r="E98" s="230"/>
      <c r="F98" s="230"/>
      <c r="G98" s="230"/>
      <c r="I98" s="1"/>
    </row>
    <row r="99" spans="1:9" x14ac:dyDescent="0.25">
      <c r="A99" s="1"/>
      <c r="B99" s="3" t="s">
        <v>188</v>
      </c>
      <c r="C99" s="3"/>
      <c r="D99" s="6" t="s">
        <v>186</v>
      </c>
      <c r="E99" s="6"/>
      <c r="F99" s="6" t="s">
        <v>165</v>
      </c>
      <c r="G99" s="1"/>
      <c r="I99" s="1"/>
    </row>
    <row r="100" spans="1:9" x14ac:dyDescent="0.25">
      <c r="A100" s="1" t="s">
        <v>184</v>
      </c>
      <c r="B100" s="5" t="s">
        <v>183</v>
      </c>
      <c r="C100" s="5"/>
      <c r="D100" s="4">
        <v>84180.56</v>
      </c>
      <c r="E100" s="4"/>
      <c r="F100" s="4">
        <v>33684.33</v>
      </c>
      <c r="G100" s="1"/>
      <c r="I100" s="1"/>
    </row>
    <row r="101" spans="1:9" x14ac:dyDescent="0.25">
      <c r="A101" s="1" t="s">
        <v>182</v>
      </c>
      <c r="B101" s="5" t="s">
        <v>181</v>
      </c>
      <c r="C101" s="5"/>
      <c r="D101" s="4">
        <v>-46.88</v>
      </c>
      <c r="E101" s="4"/>
      <c r="F101" s="4">
        <v>0</v>
      </c>
      <c r="G101" s="1"/>
      <c r="I101" s="1"/>
    </row>
    <row r="102" spans="1:9" x14ac:dyDescent="0.25">
      <c r="A102" s="1" t="s">
        <v>180</v>
      </c>
      <c r="B102" s="5" t="s">
        <v>179</v>
      </c>
      <c r="C102" s="5"/>
      <c r="D102" s="4">
        <v>0</v>
      </c>
      <c r="E102" s="4"/>
      <c r="F102" s="4">
        <v>0</v>
      </c>
      <c r="G102" s="1"/>
      <c r="I102" s="1"/>
    </row>
    <row r="103" spans="1:9" x14ac:dyDescent="0.25">
      <c r="A103" s="1" t="s">
        <v>178</v>
      </c>
      <c r="B103" s="5" t="s">
        <v>177</v>
      </c>
      <c r="C103" s="5"/>
      <c r="D103" s="4">
        <v>301482.59999999998</v>
      </c>
      <c r="E103" s="4"/>
      <c r="F103" s="4">
        <v>0</v>
      </c>
      <c r="G103" s="1"/>
      <c r="I103" s="1"/>
    </row>
    <row r="104" spans="1:9" x14ac:dyDescent="0.25">
      <c r="A104" s="1" t="s">
        <v>176</v>
      </c>
      <c r="B104" s="5" t="s">
        <v>175</v>
      </c>
      <c r="C104" s="5"/>
      <c r="D104" s="4">
        <v>22073.4</v>
      </c>
      <c r="E104" s="4"/>
      <c r="F104" s="4">
        <v>0</v>
      </c>
      <c r="G104" s="1"/>
      <c r="I104" s="1"/>
    </row>
    <row r="105" spans="1:9" x14ac:dyDescent="0.25">
      <c r="A105" s="1"/>
      <c r="B105" s="3" t="s">
        <v>166</v>
      </c>
      <c r="C105" s="3"/>
      <c r="D105" s="2">
        <v>407689.68</v>
      </c>
      <c r="E105" s="2"/>
      <c r="F105" s="2">
        <v>33684.33</v>
      </c>
      <c r="G105" s="1"/>
      <c r="I105" s="1"/>
    </row>
    <row r="106" spans="1:9" x14ac:dyDescent="0.25">
      <c r="A106" s="230"/>
      <c r="B106" s="230"/>
      <c r="C106" s="230"/>
      <c r="D106" s="230"/>
      <c r="E106" s="230"/>
      <c r="F106" s="230"/>
      <c r="G106" s="230"/>
      <c r="I106" s="1"/>
    </row>
    <row r="107" spans="1:9" x14ac:dyDescent="0.25">
      <c r="A107" s="1"/>
      <c r="B107" s="3" t="s">
        <v>187</v>
      </c>
      <c r="C107" s="3"/>
      <c r="D107" s="6" t="s">
        <v>186</v>
      </c>
      <c r="E107" s="6"/>
      <c r="F107" s="6" t="s">
        <v>165</v>
      </c>
      <c r="G107" s="1"/>
      <c r="I107" s="1"/>
    </row>
    <row r="108" spans="1:9" x14ac:dyDescent="0.25">
      <c r="A108" s="1" t="s">
        <v>184</v>
      </c>
      <c r="B108" s="5" t="s">
        <v>183</v>
      </c>
      <c r="C108" s="5"/>
      <c r="D108" s="4">
        <v>84180.56</v>
      </c>
      <c r="E108" s="4"/>
      <c r="F108" s="4">
        <v>33684.33</v>
      </c>
      <c r="G108" s="1"/>
      <c r="I108" s="1"/>
    </row>
    <row r="109" spans="1:9" x14ac:dyDescent="0.25">
      <c r="A109" s="1" t="s">
        <v>182</v>
      </c>
      <c r="B109" s="5" t="s">
        <v>181</v>
      </c>
      <c r="C109" s="5"/>
      <c r="D109" s="4">
        <v>-46.88</v>
      </c>
      <c r="E109" s="4"/>
      <c r="F109" s="4">
        <v>0</v>
      </c>
      <c r="G109" s="1"/>
      <c r="I109" s="1"/>
    </row>
    <row r="110" spans="1:9" x14ac:dyDescent="0.25">
      <c r="A110" s="1" t="s">
        <v>180</v>
      </c>
      <c r="B110" s="5" t="s">
        <v>179</v>
      </c>
      <c r="C110" s="5"/>
      <c r="D110" s="4">
        <v>0</v>
      </c>
      <c r="E110" s="4"/>
      <c r="F110" s="4">
        <v>0</v>
      </c>
      <c r="G110" s="1"/>
      <c r="I110" s="1"/>
    </row>
    <row r="111" spans="1:9" x14ac:dyDescent="0.25">
      <c r="A111" s="1" t="s">
        <v>178</v>
      </c>
      <c r="B111" s="5" t="s">
        <v>177</v>
      </c>
      <c r="C111" s="5"/>
      <c r="D111" s="4">
        <v>301482.59999999998</v>
      </c>
      <c r="E111" s="4"/>
      <c r="F111" s="4">
        <v>0</v>
      </c>
      <c r="G111" s="1"/>
      <c r="I111" s="1"/>
    </row>
    <row r="112" spans="1:9" x14ac:dyDescent="0.25">
      <c r="A112" s="1" t="s">
        <v>176</v>
      </c>
      <c r="B112" s="5" t="s">
        <v>175</v>
      </c>
      <c r="C112" s="5"/>
      <c r="D112" s="4">
        <v>22073.4</v>
      </c>
      <c r="E112" s="4"/>
      <c r="F112" s="4">
        <v>0</v>
      </c>
      <c r="G112" s="1"/>
      <c r="I112" s="1"/>
    </row>
    <row r="113" spans="1:9" x14ac:dyDescent="0.25">
      <c r="A113" s="1"/>
      <c r="B113" s="3" t="s">
        <v>166</v>
      </c>
      <c r="C113" s="3"/>
      <c r="D113" s="2">
        <v>407689.68</v>
      </c>
      <c r="E113" s="2"/>
      <c r="F113" s="2">
        <v>33684.33</v>
      </c>
      <c r="G113" s="1"/>
      <c r="I113" s="1"/>
    </row>
    <row r="114" spans="1:9" x14ac:dyDescent="0.25">
      <c r="I114" s="1"/>
    </row>
    <row r="115" spans="1:9" x14ac:dyDescent="0.25">
      <c r="I115" s="1"/>
    </row>
    <row r="116" spans="1:9" x14ac:dyDescent="0.25">
      <c r="I116" s="1"/>
    </row>
    <row r="117" spans="1:9" x14ac:dyDescent="0.25">
      <c r="I117" s="1"/>
    </row>
    <row r="118" spans="1:9" x14ac:dyDescent="0.25">
      <c r="I118" s="1"/>
    </row>
    <row r="119" spans="1:9" x14ac:dyDescent="0.25">
      <c r="I119" s="1"/>
    </row>
    <row r="120" spans="1:9" x14ac:dyDescent="0.25">
      <c r="I120" s="1"/>
    </row>
    <row r="121" spans="1:9" x14ac:dyDescent="0.25">
      <c r="I121" s="1"/>
    </row>
    <row r="122" spans="1:9" x14ac:dyDescent="0.25">
      <c r="I122" s="1"/>
    </row>
    <row r="123" spans="1:9" x14ac:dyDescent="0.25">
      <c r="I123" s="1"/>
    </row>
    <row r="124" spans="1:9" x14ac:dyDescent="0.25">
      <c r="I124" s="1"/>
    </row>
    <row r="125" spans="1:9" x14ac:dyDescent="0.25">
      <c r="I125" s="1"/>
    </row>
  </sheetData>
  <mergeCells count="6">
    <mergeCell ref="A106:G106"/>
    <mergeCell ref="A1:G1"/>
    <mergeCell ref="A2:G2"/>
    <mergeCell ref="A3:G3"/>
    <mergeCell ref="A4:G4"/>
    <mergeCell ref="A98:G98"/>
  </mergeCells>
  <printOptions gridLines="1"/>
  <pageMargins left="0.7" right="0.7" top="0.7" bottom="0.7" header="0.5" footer="0.5"/>
  <pageSetup fitToHeight="990" orientation="portrait" verticalDpi="0" r:id="rId1"/>
  <headerFooter>
    <oddHeader>&amp;R&amp;B&amp;D &amp;T</oddHeader>
    <oddFooter>&amp;C&amp;B Page &amp;P of &amp;N</oddFooter>
  </headerFooter>
  <rowBreaks count="1" manualBreakCount="1">
    <brk id="34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2"/>
  <sheetViews>
    <sheetView workbookViewId="0">
      <pane ySplit="14" topLeftCell="A52" activePane="bottomLeft" state="frozen"/>
      <selection pane="bottomLeft" activeCell="N57" sqref="N57:N68"/>
    </sheetView>
  </sheetViews>
  <sheetFormatPr defaultRowHeight="15" x14ac:dyDescent="0.25"/>
  <cols>
    <col min="1" max="1" width="28.28515625" customWidth="1"/>
    <col min="2" max="2" width="16.42578125" customWidth="1"/>
    <col min="3" max="3" width="12.7109375" customWidth="1"/>
    <col min="4" max="4" width="17.140625" customWidth="1"/>
    <col min="5" max="5" width="22.85546875" bestFit="1" customWidth="1"/>
    <col min="6" max="6" width="18" customWidth="1"/>
    <col min="7" max="7" width="12.85546875" style="128" customWidth="1"/>
    <col min="8" max="8" width="16.28515625" customWidth="1"/>
    <col min="9" max="9" width="18.7109375" customWidth="1"/>
    <col min="10" max="10" width="14.140625" bestFit="1" customWidth="1"/>
    <col min="257" max="257" width="28.28515625" customWidth="1"/>
    <col min="258" max="258" width="16.42578125" customWidth="1"/>
    <col min="259" max="259" width="12.7109375" customWidth="1"/>
    <col min="260" max="260" width="17.140625" customWidth="1"/>
    <col min="261" max="261" width="17.28515625" customWidth="1"/>
    <col min="262" max="262" width="18" customWidth="1"/>
    <col min="263" max="263" width="12.85546875" customWidth="1"/>
    <col min="264" max="264" width="16.28515625" customWidth="1"/>
    <col min="265" max="265" width="18.7109375" customWidth="1"/>
    <col min="266" max="266" width="14.140625" bestFit="1" customWidth="1"/>
    <col min="513" max="513" width="28.28515625" customWidth="1"/>
    <col min="514" max="514" width="16.42578125" customWidth="1"/>
    <col min="515" max="515" width="12.7109375" customWidth="1"/>
    <col min="516" max="516" width="17.140625" customWidth="1"/>
    <col min="517" max="517" width="17.28515625" customWidth="1"/>
    <col min="518" max="518" width="18" customWidth="1"/>
    <col min="519" max="519" width="12.85546875" customWidth="1"/>
    <col min="520" max="520" width="16.28515625" customWidth="1"/>
    <col min="521" max="521" width="18.7109375" customWidth="1"/>
    <col min="522" max="522" width="14.140625" bestFit="1" customWidth="1"/>
    <col min="769" max="769" width="28.28515625" customWidth="1"/>
    <col min="770" max="770" width="16.42578125" customWidth="1"/>
    <col min="771" max="771" width="12.7109375" customWidth="1"/>
    <col min="772" max="772" width="17.140625" customWidth="1"/>
    <col min="773" max="773" width="17.28515625" customWidth="1"/>
    <col min="774" max="774" width="18" customWidth="1"/>
    <col min="775" max="775" width="12.85546875" customWidth="1"/>
    <col min="776" max="776" width="16.28515625" customWidth="1"/>
    <col min="777" max="777" width="18.7109375" customWidth="1"/>
    <col min="778" max="778" width="14.140625" bestFit="1" customWidth="1"/>
    <col min="1025" max="1025" width="28.28515625" customWidth="1"/>
    <col min="1026" max="1026" width="16.42578125" customWidth="1"/>
    <col min="1027" max="1027" width="12.7109375" customWidth="1"/>
    <col min="1028" max="1028" width="17.140625" customWidth="1"/>
    <col min="1029" max="1029" width="17.28515625" customWidth="1"/>
    <col min="1030" max="1030" width="18" customWidth="1"/>
    <col min="1031" max="1031" width="12.85546875" customWidth="1"/>
    <col min="1032" max="1032" width="16.28515625" customWidth="1"/>
    <col min="1033" max="1033" width="18.7109375" customWidth="1"/>
    <col min="1034" max="1034" width="14.140625" bestFit="1" customWidth="1"/>
    <col min="1281" max="1281" width="28.28515625" customWidth="1"/>
    <col min="1282" max="1282" width="16.42578125" customWidth="1"/>
    <col min="1283" max="1283" width="12.7109375" customWidth="1"/>
    <col min="1284" max="1284" width="17.140625" customWidth="1"/>
    <col min="1285" max="1285" width="17.28515625" customWidth="1"/>
    <col min="1286" max="1286" width="18" customWidth="1"/>
    <col min="1287" max="1287" width="12.85546875" customWidth="1"/>
    <col min="1288" max="1288" width="16.28515625" customWidth="1"/>
    <col min="1289" max="1289" width="18.7109375" customWidth="1"/>
    <col min="1290" max="1290" width="14.140625" bestFit="1" customWidth="1"/>
    <col min="1537" max="1537" width="28.28515625" customWidth="1"/>
    <col min="1538" max="1538" width="16.42578125" customWidth="1"/>
    <col min="1539" max="1539" width="12.7109375" customWidth="1"/>
    <col min="1540" max="1540" width="17.140625" customWidth="1"/>
    <col min="1541" max="1541" width="17.28515625" customWidth="1"/>
    <col min="1542" max="1542" width="18" customWidth="1"/>
    <col min="1543" max="1543" width="12.85546875" customWidth="1"/>
    <col min="1544" max="1544" width="16.28515625" customWidth="1"/>
    <col min="1545" max="1545" width="18.7109375" customWidth="1"/>
    <col min="1546" max="1546" width="14.140625" bestFit="1" customWidth="1"/>
    <col min="1793" max="1793" width="28.28515625" customWidth="1"/>
    <col min="1794" max="1794" width="16.42578125" customWidth="1"/>
    <col min="1795" max="1795" width="12.7109375" customWidth="1"/>
    <col min="1796" max="1796" width="17.140625" customWidth="1"/>
    <col min="1797" max="1797" width="17.28515625" customWidth="1"/>
    <col min="1798" max="1798" width="18" customWidth="1"/>
    <col min="1799" max="1799" width="12.85546875" customWidth="1"/>
    <col min="1800" max="1800" width="16.28515625" customWidth="1"/>
    <col min="1801" max="1801" width="18.7109375" customWidth="1"/>
    <col min="1802" max="1802" width="14.140625" bestFit="1" customWidth="1"/>
    <col min="2049" max="2049" width="28.28515625" customWidth="1"/>
    <col min="2050" max="2050" width="16.42578125" customWidth="1"/>
    <col min="2051" max="2051" width="12.7109375" customWidth="1"/>
    <col min="2052" max="2052" width="17.140625" customWidth="1"/>
    <col min="2053" max="2053" width="17.28515625" customWidth="1"/>
    <col min="2054" max="2054" width="18" customWidth="1"/>
    <col min="2055" max="2055" width="12.85546875" customWidth="1"/>
    <col min="2056" max="2056" width="16.28515625" customWidth="1"/>
    <col min="2057" max="2057" width="18.7109375" customWidth="1"/>
    <col min="2058" max="2058" width="14.140625" bestFit="1" customWidth="1"/>
    <col min="2305" max="2305" width="28.28515625" customWidth="1"/>
    <col min="2306" max="2306" width="16.42578125" customWidth="1"/>
    <col min="2307" max="2307" width="12.7109375" customWidth="1"/>
    <col min="2308" max="2308" width="17.140625" customWidth="1"/>
    <col min="2309" max="2309" width="17.28515625" customWidth="1"/>
    <col min="2310" max="2310" width="18" customWidth="1"/>
    <col min="2311" max="2311" width="12.85546875" customWidth="1"/>
    <col min="2312" max="2312" width="16.28515625" customWidth="1"/>
    <col min="2313" max="2313" width="18.7109375" customWidth="1"/>
    <col min="2314" max="2314" width="14.140625" bestFit="1" customWidth="1"/>
    <col min="2561" max="2561" width="28.28515625" customWidth="1"/>
    <col min="2562" max="2562" width="16.42578125" customWidth="1"/>
    <col min="2563" max="2563" width="12.7109375" customWidth="1"/>
    <col min="2564" max="2564" width="17.140625" customWidth="1"/>
    <col min="2565" max="2565" width="17.28515625" customWidth="1"/>
    <col min="2566" max="2566" width="18" customWidth="1"/>
    <col min="2567" max="2567" width="12.85546875" customWidth="1"/>
    <col min="2568" max="2568" width="16.28515625" customWidth="1"/>
    <col min="2569" max="2569" width="18.7109375" customWidth="1"/>
    <col min="2570" max="2570" width="14.140625" bestFit="1" customWidth="1"/>
    <col min="2817" max="2817" width="28.28515625" customWidth="1"/>
    <col min="2818" max="2818" width="16.42578125" customWidth="1"/>
    <col min="2819" max="2819" width="12.7109375" customWidth="1"/>
    <col min="2820" max="2820" width="17.140625" customWidth="1"/>
    <col min="2821" max="2821" width="17.28515625" customWidth="1"/>
    <col min="2822" max="2822" width="18" customWidth="1"/>
    <col min="2823" max="2823" width="12.85546875" customWidth="1"/>
    <col min="2824" max="2824" width="16.28515625" customWidth="1"/>
    <col min="2825" max="2825" width="18.7109375" customWidth="1"/>
    <col min="2826" max="2826" width="14.140625" bestFit="1" customWidth="1"/>
    <col min="3073" max="3073" width="28.28515625" customWidth="1"/>
    <col min="3074" max="3074" width="16.42578125" customWidth="1"/>
    <col min="3075" max="3075" width="12.7109375" customWidth="1"/>
    <col min="3076" max="3076" width="17.140625" customWidth="1"/>
    <col min="3077" max="3077" width="17.28515625" customWidth="1"/>
    <col min="3078" max="3078" width="18" customWidth="1"/>
    <col min="3079" max="3079" width="12.85546875" customWidth="1"/>
    <col min="3080" max="3080" width="16.28515625" customWidth="1"/>
    <col min="3081" max="3081" width="18.7109375" customWidth="1"/>
    <col min="3082" max="3082" width="14.140625" bestFit="1" customWidth="1"/>
    <col min="3329" max="3329" width="28.28515625" customWidth="1"/>
    <col min="3330" max="3330" width="16.42578125" customWidth="1"/>
    <col min="3331" max="3331" width="12.7109375" customWidth="1"/>
    <col min="3332" max="3332" width="17.140625" customWidth="1"/>
    <col min="3333" max="3333" width="17.28515625" customWidth="1"/>
    <col min="3334" max="3334" width="18" customWidth="1"/>
    <col min="3335" max="3335" width="12.85546875" customWidth="1"/>
    <col min="3336" max="3336" width="16.28515625" customWidth="1"/>
    <col min="3337" max="3337" width="18.7109375" customWidth="1"/>
    <col min="3338" max="3338" width="14.140625" bestFit="1" customWidth="1"/>
    <col min="3585" max="3585" width="28.28515625" customWidth="1"/>
    <col min="3586" max="3586" width="16.42578125" customWidth="1"/>
    <col min="3587" max="3587" width="12.7109375" customWidth="1"/>
    <col min="3588" max="3588" width="17.140625" customWidth="1"/>
    <col min="3589" max="3589" width="17.28515625" customWidth="1"/>
    <col min="3590" max="3590" width="18" customWidth="1"/>
    <col min="3591" max="3591" width="12.85546875" customWidth="1"/>
    <col min="3592" max="3592" width="16.28515625" customWidth="1"/>
    <col min="3593" max="3593" width="18.7109375" customWidth="1"/>
    <col min="3594" max="3594" width="14.140625" bestFit="1" customWidth="1"/>
    <col min="3841" max="3841" width="28.28515625" customWidth="1"/>
    <col min="3842" max="3842" width="16.42578125" customWidth="1"/>
    <col min="3843" max="3843" width="12.7109375" customWidth="1"/>
    <col min="3844" max="3844" width="17.140625" customWidth="1"/>
    <col min="3845" max="3845" width="17.28515625" customWidth="1"/>
    <col min="3846" max="3846" width="18" customWidth="1"/>
    <col min="3847" max="3847" width="12.85546875" customWidth="1"/>
    <col min="3848" max="3848" width="16.28515625" customWidth="1"/>
    <col min="3849" max="3849" width="18.7109375" customWidth="1"/>
    <col min="3850" max="3850" width="14.140625" bestFit="1" customWidth="1"/>
    <col min="4097" max="4097" width="28.28515625" customWidth="1"/>
    <col min="4098" max="4098" width="16.42578125" customWidth="1"/>
    <col min="4099" max="4099" width="12.7109375" customWidth="1"/>
    <col min="4100" max="4100" width="17.140625" customWidth="1"/>
    <col min="4101" max="4101" width="17.28515625" customWidth="1"/>
    <col min="4102" max="4102" width="18" customWidth="1"/>
    <col min="4103" max="4103" width="12.85546875" customWidth="1"/>
    <col min="4104" max="4104" width="16.28515625" customWidth="1"/>
    <col min="4105" max="4105" width="18.7109375" customWidth="1"/>
    <col min="4106" max="4106" width="14.140625" bestFit="1" customWidth="1"/>
    <col min="4353" max="4353" width="28.28515625" customWidth="1"/>
    <col min="4354" max="4354" width="16.42578125" customWidth="1"/>
    <col min="4355" max="4355" width="12.7109375" customWidth="1"/>
    <col min="4356" max="4356" width="17.140625" customWidth="1"/>
    <col min="4357" max="4357" width="17.28515625" customWidth="1"/>
    <col min="4358" max="4358" width="18" customWidth="1"/>
    <col min="4359" max="4359" width="12.85546875" customWidth="1"/>
    <col min="4360" max="4360" width="16.28515625" customWidth="1"/>
    <col min="4361" max="4361" width="18.7109375" customWidth="1"/>
    <col min="4362" max="4362" width="14.140625" bestFit="1" customWidth="1"/>
    <col min="4609" max="4609" width="28.28515625" customWidth="1"/>
    <col min="4610" max="4610" width="16.42578125" customWidth="1"/>
    <col min="4611" max="4611" width="12.7109375" customWidth="1"/>
    <col min="4612" max="4612" width="17.140625" customWidth="1"/>
    <col min="4613" max="4613" width="17.28515625" customWidth="1"/>
    <col min="4614" max="4614" width="18" customWidth="1"/>
    <col min="4615" max="4615" width="12.85546875" customWidth="1"/>
    <col min="4616" max="4616" width="16.28515625" customWidth="1"/>
    <col min="4617" max="4617" width="18.7109375" customWidth="1"/>
    <col min="4618" max="4618" width="14.140625" bestFit="1" customWidth="1"/>
    <col min="4865" max="4865" width="28.28515625" customWidth="1"/>
    <col min="4866" max="4866" width="16.42578125" customWidth="1"/>
    <col min="4867" max="4867" width="12.7109375" customWidth="1"/>
    <col min="4868" max="4868" width="17.140625" customWidth="1"/>
    <col min="4869" max="4869" width="17.28515625" customWidth="1"/>
    <col min="4870" max="4870" width="18" customWidth="1"/>
    <col min="4871" max="4871" width="12.85546875" customWidth="1"/>
    <col min="4872" max="4872" width="16.28515625" customWidth="1"/>
    <col min="4873" max="4873" width="18.7109375" customWidth="1"/>
    <col min="4874" max="4874" width="14.140625" bestFit="1" customWidth="1"/>
    <col min="5121" max="5121" width="28.28515625" customWidth="1"/>
    <col min="5122" max="5122" width="16.42578125" customWidth="1"/>
    <col min="5123" max="5123" width="12.7109375" customWidth="1"/>
    <col min="5124" max="5124" width="17.140625" customWidth="1"/>
    <col min="5125" max="5125" width="17.28515625" customWidth="1"/>
    <col min="5126" max="5126" width="18" customWidth="1"/>
    <col min="5127" max="5127" width="12.85546875" customWidth="1"/>
    <col min="5128" max="5128" width="16.28515625" customWidth="1"/>
    <col min="5129" max="5129" width="18.7109375" customWidth="1"/>
    <col min="5130" max="5130" width="14.140625" bestFit="1" customWidth="1"/>
    <col min="5377" max="5377" width="28.28515625" customWidth="1"/>
    <col min="5378" max="5378" width="16.42578125" customWidth="1"/>
    <col min="5379" max="5379" width="12.7109375" customWidth="1"/>
    <col min="5380" max="5380" width="17.140625" customWidth="1"/>
    <col min="5381" max="5381" width="17.28515625" customWidth="1"/>
    <col min="5382" max="5382" width="18" customWidth="1"/>
    <col min="5383" max="5383" width="12.85546875" customWidth="1"/>
    <col min="5384" max="5384" width="16.28515625" customWidth="1"/>
    <col min="5385" max="5385" width="18.7109375" customWidth="1"/>
    <col min="5386" max="5386" width="14.140625" bestFit="1" customWidth="1"/>
    <col min="5633" max="5633" width="28.28515625" customWidth="1"/>
    <col min="5634" max="5634" width="16.42578125" customWidth="1"/>
    <col min="5635" max="5635" width="12.7109375" customWidth="1"/>
    <col min="5636" max="5636" width="17.140625" customWidth="1"/>
    <col min="5637" max="5637" width="17.28515625" customWidth="1"/>
    <col min="5638" max="5638" width="18" customWidth="1"/>
    <col min="5639" max="5639" width="12.85546875" customWidth="1"/>
    <col min="5640" max="5640" width="16.28515625" customWidth="1"/>
    <col min="5641" max="5641" width="18.7109375" customWidth="1"/>
    <col min="5642" max="5642" width="14.140625" bestFit="1" customWidth="1"/>
    <col min="5889" max="5889" width="28.28515625" customWidth="1"/>
    <col min="5890" max="5890" width="16.42578125" customWidth="1"/>
    <col min="5891" max="5891" width="12.7109375" customWidth="1"/>
    <col min="5892" max="5892" width="17.140625" customWidth="1"/>
    <col min="5893" max="5893" width="17.28515625" customWidth="1"/>
    <col min="5894" max="5894" width="18" customWidth="1"/>
    <col min="5895" max="5895" width="12.85546875" customWidth="1"/>
    <col min="5896" max="5896" width="16.28515625" customWidth="1"/>
    <col min="5897" max="5897" width="18.7109375" customWidth="1"/>
    <col min="5898" max="5898" width="14.140625" bestFit="1" customWidth="1"/>
    <col min="6145" max="6145" width="28.28515625" customWidth="1"/>
    <col min="6146" max="6146" width="16.42578125" customWidth="1"/>
    <col min="6147" max="6147" width="12.7109375" customWidth="1"/>
    <col min="6148" max="6148" width="17.140625" customWidth="1"/>
    <col min="6149" max="6149" width="17.28515625" customWidth="1"/>
    <col min="6150" max="6150" width="18" customWidth="1"/>
    <col min="6151" max="6151" width="12.85546875" customWidth="1"/>
    <col min="6152" max="6152" width="16.28515625" customWidth="1"/>
    <col min="6153" max="6153" width="18.7109375" customWidth="1"/>
    <col min="6154" max="6154" width="14.140625" bestFit="1" customWidth="1"/>
    <col min="6401" max="6401" width="28.28515625" customWidth="1"/>
    <col min="6402" max="6402" width="16.42578125" customWidth="1"/>
    <col min="6403" max="6403" width="12.7109375" customWidth="1"/>
    <col min="6404" max="6404" width="17.140625" customWidth="1"/>
    <col min="6405" max="6405" width="17.28515625" customWidth="1"/>
    <col min="6406" max="6406" width="18" customWidth="1"/>
    <col min="6407" max="6407" width="12.85546875" customWidth="1"/>
    <col min="6408" max="6408" width="16.28515625" customWidth="1"/>
    <col min="6409" max="6409" width="18.7109375" customWidth="1"/>
    <col min="6410" max="6410" width="14.140625" bestFit="1" customWidth="1"/>
    <col min="6657" max="6657" width="28.28515625" customWidth="1"/>
    <col min="6658" max="6658" width="16.42578125" customWidth="1"/>
    <col min="6659" max="6659" width="12.7109375" customWidth="1"/>
    <col min="6660" max="6660" width="17.140625" customWidth="1"/>
    <col min="6661" max="6661" width="17.28515625" customWidth="1"/>
    <col min="6662" max="6662" width="18" customWidth="1"/>
    <col min="6663" max="6663" width="12.85546875" customWidth="1"/>
    <col min="6664" max="6664" width="16.28515625" customWidth="1"/>
    <col min="6665" max="6665" width="18.7109375" customWidth="1"/>
    <col min="6666" max="6666" width="14.140625" bestFit="1" customWidth="1"/>
    <col min="6913" max="6913" width="28.28515625" customWidth="1"/>
    <col min="6914" max="6914" width="16.42578125" customWidth="1"/>
    <col min="6915" max="6915" width="12.7109375" customWidth="1"/>
    <col min="6916" max="6916" width="17.140625" customWidth="1"/>
    <col min="6917" max="6917" width="17.28515625" customWidth="1"/>
    <col min="6918" max="6918" width="18" customWidth="1"/>
    <col min="6919" max="6919" width="12.85546875" customWidth="1"/>
    <col min="6920" max="6920" width="16.28515625" customWidth="1"/>
    <col min="6921" max="6921" width="18.7109375" customWidth="1"/>
    <col min="6922" max="6922" width="14.140625" bestFit="1" customWidth="1"/>
    <col min="7169" max="7169" width="28.28515625" customWidth="1"/>
    <col min="7170" max="7170" width="16.42578125" customWidth="1"/>
    <col min="7171" max="7171" width="12.7109375" customWidth="1"/>
    <col min="7172" max="7172" width="17.140625" customWidth="1"/>
    <col min="7173" max="7173" width="17.28515625" customWidth="1"/>
    <col min="7174" max="7174" width="18" customWidth="1"/>
    <col min="7175" max="7175" width="12.85546875" customWidth="1"/>
    <col min="7176" max="7176" width="16.28515625" customWidth="1"/>
    <col min="7177" max="7177" width="18.7109375" customWidth="1"/>
    <col min="7178" max="7178" width="14.140625" bestFit="1" customWidth="1"/>
    <col min="7425" max="7425" width="28.28515625" customWidth="1"/>
    <col min="7426" max="7426" width="16.42578125" customWidth="1"/>
    <col min="7427" max="7427" width="12.7109375" customWidth="1"/>
    <col min="7428" max="7428" width="17.140625" customWidth="1"/>
    <col min="7429" max="7429" width="17.28515625" customWidth="1"/>
    <col min="7430" max="7430" width="18" customWidth="1"/>
    <col min="7431" max="7431" width="12.85546875" customWidth="1"/>
    <col min="7432" max="7432" width="16.28515625" customWidth="1"/>
    <col min="7433" max="7433" width="18.7109375" customWidth="1"/>
    <col min="7434" max="7434" width="14.140625" bestFit="1" customWidth="1"/>
    <col min="7681" max="7681" width="28.28515625" customWidth="1"/>
    <col min="7682" max="7682" width="16.42578125" customWidth="1"/>
    <col min="7683" max="7683" width="12.7109375" customWidth="1"/>
    <col min="7684" max="7684" width="17.140625" customWidth="1"/>
    <col min="7685" max="7685" width="17.28515625" customWidth="1"/>
    <col min="7686" max="7686" width="18" customWidth="1"/>
    <col min="7687" max="7687" width="12.85546875" customWidth="1"/>
    <col min="7688" max="7688" width="16.28515625" customWidth="1"/>
    <col min="7689" max="7689" width="18.7109375" customWidth="1"/>
    <col min="7690" max="7690" width="14.140625" bestFit="1" customWidth="1"/>
    <col min="7937" max="7937" width="28.28515625" customWidth="1"/>
    <col min="7938" max="7938" width="16.42578125" customWidth="1"/>
    <col min="7939" max="7939" width="12.7109375" customWidth="1"/>
    <col min="7940" max="7940" width="17.140625" customWidth="1"/>
    <col min="7941" max="7941" width="17.28515625" customWidth="1"/>
    <col min="7942" max="7942" width="18" customWidth="1"/>
    <col min="7943" max="7943" width="12.85546875" customWidth="1"/>
    <col min="7944" max="7944" width="16.28515625" customWidth="1"/>
    <col min="7945" max="7945" width="18.7109375" customWidth="1"/>
    <col min="7946" max="7946" width="14.140625" bestFit="1" customWidth="1"/>
    <col min="8193" max="8193" width="28.28515625" customWidth="1"/>
    <col min="8194" max="8194" width="16.42578125" customWidth="1"/>
    <col min="8195" max="8195" width="12.7109375" customWidth="1"/>
    <col min="8196" max="8196" width="17.140625" customWidth="1"/>
    <col min="8197" max="8197" width="17.28515625" customWidth="1"/>
    <col min="8198" max="8198" width="18" customWidth="1"/>
    <col min="8199" max="8199" width="12.85546875" customWidth="1"/>
    <col min="8200" max="8200" width="16.28515625" customWidth="1"/>
    <col min="8201" max="8201" width="18.7109375" customWidth="1"/>
    <col min="8202" max="8202" width="14.140625" bestFit="1" customWidth="1"/>
    <col min="8449" max="8449" width="28.28515625" customWidth="1"/>
    <col min="8450" max="8450" width="16.42578125" customWidth="1"/>
    <col min="8451" max="8451" width="12.7109375" customWidth="1"/>
    <col min="8452" max="8452" width="17.140625" customWidth="1"/>
    <col min="8453" max="8453" width="17.28515625" customWidth="1"/>
    <col min="8454" max="8454" width="18" customWidth="1"/>
    <col min="8455" max="8455" width="12.85546875" customWidth="1"/>
    <col min="8456" max="8456" width="16.28515625" customWidth="1"/>
    <col min="8457" max="8457" width="18.7109375" customWidth="1"/>
    <col min="8458" max="8458" width="14.140625" bestFit="1" customWidth="1"/>
    <col min="8705" max="8705" width="28.28515625" customWidth="1"/>
    <col min="8706" max="8706" width="16.42578125" customWidth="1"/>
    <col min="8707" max="8707" width="12.7109375" customWidth="1"/>
    <col min="8708" max="8708" width="17.140625" customWidth="1"/>
    <col min="8709" max="8709" width="17.28515625" customWidth="1"/>
    <col min="8710" max="8710" width="18" customWidth="1"/>
    <col min="8711" max="8711" width="12.85546875" customWidth="1"/>
    <col min="8712" max="8712" width="16.28515625" customWidth="1"/>
    <col min="8713" max="8713" width="18.7109375" customWidth="1"/>
    <col min="8714" max="8714" width="14.140625" bestFit="1" customWidth="1"/>
    <col min="8961" max="8961" width="28.28515625" customWidth="1"/>
    <col min="8962" max="8962" width="16.42578125" customWidth="1"/>
    <col min="8963" max="8963" width="12.7109375" customWidth="1"/>
    <col min="8964" max="8964" width="17.140625" customWidth="1"/>
    <col min="8965" max="8965" width="17.28515625" customWidth="1"/>
    <col min="8966" max="8966" width="18" customWidth="1"/>
    <col min="8967" max="8967" width="12.85546875" customWidth="1"/>
    <col min="8968" max="8968" width="16.28515625" customWidth="1"/>
    <col min="8969" max="8969" width="18.7109375" customWidth="1"/>
    <col min="8970" max="8970" width="14.140625" bestFit="1" customWidth="1"/>
    <col min="9217" max="9217" width="28.28515625" customWidth="1"/>
    <col min="9218" max="9218" width="16.42578125" customWidth="1"/>
    <col min="9219" max="9219" width="12.7109375" customWidth="1"/>
    <col min="9220" max="9220" width="17.140625" customWidth="1"/>
    <col min="9221" max="9221" width="17.28515625" customWidth="1"/>
    <col min="9222" max="9222" width="18" customWidth="1"/>
    <col min="9223" max="9223" width="12.85546875" customWidth="1"/>
    <col min="9224" max="9224" width="16.28515625" customWidth="1"/>
    <col min="9225" max="9225" width="18.7109375" customWidth="1"/>
    <col min="9226" max="9226" width="14.140625" bestFit="1" customWidth="1"/>
    <col min="9473" max="9473" width="28.28515625" customWidth="1"/>
    <col min="9474" max="9474" width="16.42578125" customWidth="1"/>
    <col min="9475" max="9475" width="12.7109375" customWidth="1"/>
    <col min="9476" max="9476" width="17.140625" customWidth="1"/>
    <col min="9477" max="9477" width="17.28515625" customWidth="1"/>
    <col min="9478" max="9478" width="18" customWidth="1"/>
    <col min="9479" max="9479" width="12.85546875" customWidth="1"/>
    <col min="9480" max="9480" width="16.28515625" customWidth="1"/>
    <col min="9481" max="9481" width="18.7109375" customWidth="1"/>
    <col min="9482" max="9482" width="14.140625" bestFit="1" customWidth="1"/>
    <col min="9729" max="9729" width="28.28515625" customWidth="1"/>
    <col min="9730" max="9730" width="16.42578125" customWidth="1"/>
    <col min="9731" max="9731" width="12.7109375" customWidth="1"/>
    <col min="9732" max="9732" width="17.140625" customWidth="1"/>
    <col min="9733" max="9733" width="17.28515625" customWidth="1"/>
    <col min="9734" max="9734" width="18" customWidth="1"/>
    <col min="9735" max="9735" width="12.85546875" customWidth="1"/>
    <col min="9736" max="9736" width="16.28515625" customWidth="1"/>
    <col min="9737" max="9737" width="18.7109375" customWidth="1"/>
    <col min="9738" max="9738" width="14.140625" bestFit="1" customWidth="1"/>
    <col min="9985" max="9985" width="28.28515625" customWidth="1"/>
    <col min="9986" max="9986" width="16.42578125" customWidth="1"/>
    <col min="9987" max="9987" width="12.7109375" customWidth="1"/>
    <col min="9988" max="9988" width="17.140625" customWidth="1"/>
    <col min="9989" max="9989" width="17.28515625" customWidth="1"/>
    <col min="9990" max="9990" width="18" customWidth="1"/>
    <col min="9991" max="9991" width="12.85546875" customWidth="1"/>
    <col min="9992" max="9992" width="16.28515625" customWidth="1"/>
    <col min="9993" max="9993" width="18.7109375" customWidth="1"/>
    <col min="9994" max="9994" width="14.140625" bestFit="1" customWidth="1"/>
    <col min="10241" max="10241" width="28.28515625" customWidth="1"/>
    <col min="10242" max="10242" width="16.42578125" customWidth="1"/>
    <col min="10243" max="10243" width="12.7109375" customWidth="1"/>
    <col min="10244" max="10244" width="17.140625" customWidth="1"/>
    <col min="10245" max="10245" width="17.28515625" customWidth="1"/>
    <col min="10246" max="10246" width="18" customWidth="1"/>
    <col min="10247" max="10247" width="12.85546875" customWidth="1"/>
    <col min="10248" max="10248" width="16.28515625" customWidth="1"/>
    <col min="10249" max="10249" width="18.7109375" customWidth="1"/>
    <col min="10250" max="10250" width="14.140625" bestFit="1" customWidth="1"/>
    <col min="10497" max="10497" width="28.28515625" customWidth="1"/>
    <col min="10498" max="10498" width="16.42578125" customWidth="1"/>
    <col min="10499" max="10499" width="12.7109375" customWidth="1"/>
    <col min="10500" max="10500" width="17.140625" customWidth="1"/>
    <col min="10501" max="10501" width="17.28515625" customWidth="1"/>
    <col min="10502" max="10502" width="18" customWidth="1"/>
    <col min="10503" max="10503" width="12.85546875" customWidth="1"/>
    <col min="10504" max="10504" width="16.28515625" customWidth="1"/>
    <col min="10505" max="10505" width="18.7109375" customWidth="1"/>
    <col min="10506" max="10506" width="14.140625" bestFit="1" customWidth="1"/>
    <col min="10753" max="10753" width="28.28515625" customWidth="1"/>
    <col min="10754" max="10754" width="16.42578125" customWidth="1"/>
    <col min="10755" max="10755" width="12.7109375" customWidth="1"/>
    <col min="10756" max="10756" width="17.140625" customWidth="1"/>
    <col min="10757" max="10757" width="17.28515625" customWidth="1"/>
    <col min="10758" max="10758" width="18" customWidth="1"/>
    <col min="10759" max="10759" width="12.85546875" customWidth="1"/>
    <col min="10760" max="10760" width="16.28515625" customWidth="1"/>
    <col min="10761" max="10761" width="18.7109375" customWidth="1"/>
    <col min="10762" max="10762" width="14.140625" bestFit="1" customWidth="1"/>
    <col min="11009" max="11009" width="28.28515625" customWidth="1"/>
    <col min="11010" max="11010" width="16.42578125" customWidth="1"/>
    <col min="11011" max="11011" width="12.7109375" customWidth="1"/>
    <col min="11012" max="11012" width="17.140625" customWidth="1"/>
    <col min="11013" max="11013" width="17.28515625" customWidth="1"/>
    <col min="11014" max="11014" width="18" customWidth="1"/>
    <col min="11015" max="11015" width="12.85546875" customWidth="1"/>
    <col min="11016" max="11016" width="16.28515625" customWidth="1"/>
    <col min="11017" max="11017" width="18.7109375" customWidth="1"/>
    <col min="11018" max="11018" width="14.140625" bestFit="1" customWidth="1"/>
    <col min="11265" max="11265" width="28.28515625" customWidth="1"/>
    <col min="11266" max="11266" width="16.42578125" customWidth="1"/>
    <col min="11267" max="11267" width="12.7109375" customWidth="1"/>
    <col min="11268" max="11268" width="17.140625" customWidth="1"/>
    <col min="11269" max="11269" width="17.28515625" customWidth="1"/>
    <col min="11270" max="11270" width="18" customWidth="1"/>
    <col min="11271" max="11271" width="12.85546875" customWidth="1"/>
    <col min="11272" max="11272" width="16.28515625" customWidth="1"/>
    <col min="11273" max="11273" width="18.7109375" customWidth="1"/>
    <col min="11274" max="11274" width="14.140625" bestFit="1" customWidth="1"/>
    <col min="11521" max="11521" width="28.28515625" customWidth="1"/>
    <col min="11522" max="11522" width="16.42578125" customWidth="1"/>
    <col min="11523" max="11523" width="12.7109375" customWidth="1"/>
    <col min="11524" max="11524" width="17.140625" customWidth="1"/>
    <col min="11525" max="11525" width="17.28515625" customWidth="1"/>
    <col min="11526" max="11526" width="18" customWidth="1"/>
    <col min="11527" max="11527" width="12.85546875" customWidth="1"/>
    <col min="11528" max="11528" width="16.28515625" customWidth="1"/>
    <col min="11529" max="11529" width="18.7109375" customWidth="1"/>
    <col min="11530" max="11530" width="14.140625" bestFit="1" customWidth="1"/>
    <col min="11777" max="11777" width="28.28515625" customWidth="1"/>
    <col min="11778" max="11778" width="16.42578125" customWidth="1"/>
    <col min="11779" max="11779" width="12.7109375" customWidth="1"/>
    <col min="11780" max="11780" width="17.140625" customWidth="1"/>
    <col min="11781" max="11781" width="17.28515625" customWidth="1"/>
    <col min="11782" max="11782" width="18" customWidth="1"/>
    <col min="11783" max="11783" width="12.85546875" customWidth="1"/>
    <col min="11784" max="11784" width="16.28515625" customWidth="1"/>
    <col min="11785" max="11785" width="18.7109375" customWidth="1"/>
    <col min="11786" max="11786" width="14.140625" bestFit="1" customWidth="1"/>
    <col min="12033" max="12033" width="28.28515625" customWidth="1"/>
    <col min="12034" max="12034" width="16.42578125" customWidth="1"/>
    <col min="12035" max="12035" width="12.7109375" customWidth="1"/>
    <col min="12036" max="12036" width="17.140625" customWidth="1"/>
    <col min="12037" max="12037" width="17.28515625" customWidth="1"/>
    <col min="12038" max="12038" width="18" customWidth="1"/>
    <col min="12039" max="12039" width="12.85546875" customWidth="1"/>
    <col min="12040" max="12040" width="16.28515625" customWidth="1"/>
    <col min="12041" max="12041" width="18.7109375" customWidth="1"/>
    <col min="12042" max="12042" width="14.140625" bestFit="1" customWidth="1"/>
    <col min="12289" max="12289" width="28.28515625" customWidth="1"/>
    <col min="12290" max="12290" width="16.42578125" customWidth="1"/>
    <col min="12291" max="12291" width="12.7109375" customWidth="1"/>
    <col min="12292" max="12292" width="17.140625" customWidth="1"/>
    <col min="12293" max="12293" width="17.28515625" customWidth="1"/>
    <col min="12294" max="12294" width="18" customWidth="1"/>
    <col min="12295" max="12295" width="12.85546875" customWidth="1"/>
    <col min="12296" max="12296" width="16.28515625" customWidth="1"/>
    <col min="12297" max="12297" width="18.7109375" customWidth="1"/>
    <col min="12298" max="12298" width="14.140625" bestFit="1" customWidth="1"/>
    <col min="12545" max="12545" width="28.28515625" customWidth="1"/>
    <col min="12546" max="12546" width="16.42578125" customWidth="1"/>
    <col min="12547" max="12547" width="12.7109375" customWidth="1"/>
    <col min="12548" max="12548" width="17.140625" customWidth="1"/>
    <col min="12549" max="12549" width="17.28515625" customWidth="1"/>
    <col min="12550" max="12550" width="18" customWidth="1"/>
    <col min="12551" max="12551" width="12.85546875" customWidth="1"/>
    <col min="12552" max="12552" width="16.28515625" customWidth="1"/>
    <col min="12553" max="12553" width="18.7109375" customWidth="1"/>
    <col min="12554" max="12554" width="14.140625" bestFit="1" customWidth="1"/>
    <col min="12801" max="12801" width="28.28515625" customWidth="1"/>
    <col min="12802" max="12802" width="16.42578125" customWidth="1"/>
    <col min="12803" max="12803" width="12.7109375" customWidth="1"/>
    <col min="12804" max="12804" width="17.140625" customWidth="1"/>
    <col min="12805" max="12805" width="17.28515625" customWidth="1"/>
    <col min="12806" max="12806" width="18" customWidth="1"/>
    <col min="12807" max="12807" width="12.85546875" customWidth="1"/>
    <col min="12808" max="12808" width="16.28515625" customWidth="1"/>
    <col min="12809" max="12809" width="18.7109375" customWidth="1"/>
    <col min="12810" max="12810" width="14.140625" bestFit="1" customWidth="1"/>
    <col min="13057" max="13057" width="28.28515625" customWidth="1"/>
    <col min="13058" max="13058" width="16.42578125" customWidth="1"/>
    <col min="13059" max="13059" width="12.7109375" customWidth="1"/>
    <col min="13060" max="13060" width="17.140625" customWidth="1"/>
    <col min="13061" max="13061" width="17.28515625" customWidth="1"/>
    <col min="13062" max="13062" width="18" customWidth="1"/>
    <col min="13063" max="13063" width="12.85546875" customWidth="1"/>
    <col min="13064" max="13064" width="16.28515625" customWidth="1"/>
    <col min="13065" max="13065" width="18.7109375" customWidth="1"/>
    <col min="13066" max="13066" width="14.140625" bestFit="1" customWidth="1"/>
    <col min="13313" max="13313" width="28.28515625" customWidth="1"/>
    <col min="13314" max="13314" width="16.42578125" customWidth="1"/>
    <col min="13315" max="13315" width="12.7109375" customWidth="1"/>
    <col min="13316" max="13316" width="17.140625" customWidth="1"/>
    <col min="13317" max="13317" width="17.28515625" customWidth="1"/>
    <col min="13318" max="13318" width="18" customWidth="1"/>
    <col min="13319" max="13319" width="12.85546875" customWidth="1"/>
    <col min="13320" max="13320" width="16.28515625" customWidth="1"/>
    <col min="13321" max="13321" width="18.7109375" customWidth="1"/>
    <col min="13322" max="13322" width="14.140625" bestFit="1" customWidth="1"/>
    <col min="13569" max="13569" width="28.28515625" customWidth="1"/>
    <col min="13570" max="13570" width="16.42578125" customWidth="1"/>
    <col min="13571" max="13571" width="12.7109375" customWidth="1"/>
    <col min="13572" max="13572" width="17.140625" customWidth="1"/>
    <col min="13573" max="13573" width="17.28515625" customWidth="1"/>
    <col min="13574" max="13574" width="18" customWidth="1"/>
    <col min="13575" max="13575" width="12.85546875" customWidth="1"/>
    <col min="13576" max="13576" width="16.28515625" customWidth="1"/>
    <col min="13577" max="13577" width="18.7109375" customWidth="1"/>
    <col min="13578" max="13578" width="14.140625" bestFit="1" customWidth="1"/>
    <col min="13825" max="13825" width="28.28515625" customWidth="1"/>
    <col min="13826" max="13826" width="16.42578125" customWidth="1"/>
    <col min="13827" max="13827" width="12.7109375" customWidth="1"/>
    <col min="13828" max="13828" width="17.140625" customWidth="1"/>
    <col min="13829" max="13829" width="17.28515625" customWidth="1"/>
    <col min="13830" max="13830" width="18" customWidth="1"/>
    <col min="13831" max="13831" width="12.85546875" customWidth="1"/>
    <col min="13832" max="13832" width="16.28515625" customWidth="1"/>
    <col min="13833" max="13833" width="18.7109375" customWidth="1"/>
    <col min="13834" max="13834" width="14.140625" bestFit="1" customWidth="1"/>
    <col min="14081" max="14081" width="28.28515625" customWidth="1"/>
    <col min="14082" max="14082" width="16.42578125" customWidth="1"/>
    <col min="14083" max="14083" width="12.7109375" customWidth="1"/>
    <col min="14084" max="14084" width="17.140625" customWidth="1"/>
    <col min="14085" max="14085" width="17.28515625" customWidth="1"/>
    <col min="14086" max="14086" width="18" customWidth="1"/>
    <col min="14087" max="14087" width="12.85546875" customWidth="1"/>
    <col min="14088" max="14088" width="16.28515625" customWidth="1"/>
    <col min="14089" max="14089" width="18.7109375" customWidth="1"/>
    <col min="14090" max="14090" width="14.140625" bestFit="1" customWidth="1"/>
    <col min="14337" max="14337" width="28.28515625" customWidth="1"/>
    <col min="14338" max="14338" width="16.42578125" customWidth="1"/>
    <col min="14339" max="14339" width="12.7109375" customWidth="1"/>
    <col min="14340" max="14340" width="17.140625" customWidth="1"/>
    <col min="14341" max="14341" width="17.28515625" customWidth="1"/>
    <col min="14342" max="14342" width="18" customWidth="1"/>
    <col min="14343" max="14343" width="12.85546875" customWidth="1"/>
    <col min="14344" max="14344" width="16.28515625" customWidth="1"/>
    <col min="14345" max="14345" width="18.7109375" customWidth="1"/>
    <col min="14346" max="14346" width="14.140625" bestFit="1" customWidth="1"/>
    <col min="14593" max="14593" width="28.28515625" customWidth="1"/>
    <col min="14594" max="14594" width="16.42578125" customWidth="1"/>
    <col min="14595" max="14595" width="12.7109375" customWidth="1"/>
    <col min="14596" max="14596" width="17.140625" customWidth="1"/>
    <col min="14597" max="14597" width="17.28515625" customWidth="1"/>
    <col min="14598" max="14598" width="18" customWidth="1"/>
    <col min="14599" max="14599" width="12.85546875" customWidth="1"/>
    <col min="14600" max="14600" width="16.28515625" customWidth="1"/>
    <col min="14601" max="14601" width="18.7109375" customWidth="1"/>
    <col min="14602" max="14602" width="14.140625" bestFit="1" customWidth="1"/>
    <col min="14849" max="14849" width="28.28515625" customWidth="1"/>
    <col min="14850" max="14850" width="16.42578125" customWidth="1"/>
    <col min="14851" max="14851" width="12.7109375" customWidth="1"/>
    <col min="14852" max="14852" width="17.140625" customWidth="1"/>
    <col min="14853" max="14853" width="17.28515625" customWidth="1"/>
    <col min="14854" max="14854" width="18" customWidth="1"/>
    <col min="14855" max="14855" width="12.85546875" customWidth="1"/>
    <col min="14856" max="14856" width="16.28515625" customWidth="1"/>
    <col min="14857" max="14857" width="18.7109375" customWidth="1"/>
    <col min="14858" max="14858" width="14.140625" bestFit="1" customWidth="1"/>
    <col min="15105" max="15105" width="28.28515625" customWidth="1"/>
    <col min="15106" max="15106" width="16.42578125" customWidth="1"/>
    <col min="15107" max="15107" width="12.7109375" customWidth="1"/>
    <col min="15108" max="15108" width="17.140625" customWidth="1"/>
    <col min="15109" max="15109" width="17.28515625" customWidth="1"/>
    <col min="15110" max="15110" width="18" customWidth="1"/>
    <col min="15111" max="15111" width="12.85546875" customWidth="1"/>
    <col min="15112" max="15112" width="16.28515625" customWidth="1"/>
    <col min="15113" max="15113" width="18.7109375" customWidth="1"/>
    <col min="15114" max="15114" width="14.140625" bestFit="1" customWidth="1"/>
    <col min="15361" max="15361" width="28.28515625" customWidth="1"/>
    <col min="15362" max="15362" width="16.42578125" customWidth="1"/>
    <col min="15363" max="15363" width="12.7109375" customWidth="1"/>
    <col min="15364" max="15364" width="17.140625" customWidth="1"/>
    <col min="15365" max="15365" width="17.28515625" customWidth="1"/>
    <col min="15366" max="15366" width="18" customWidth="1"/>
    <col min="15367" max="15367" width="12.85546875" customWidth="1"/>
    <col min="15368" max="15368" width="16.28515625" customWidth="1"/>
    <col min="15369" max="15369" width="18.7109375" customWidth="1"/>
    <col min="15370" max="15370" width="14.140625" bestFit="1" customWidth="1"/>
    <col min="15617" max="15617" width="28.28515625" customWidth="1"/>
    <col min="15618" max="15618" width="16.42578125" customWidth="1"/>
    <col min="15619" max="15619" width="12.7109375" customWidth="1"/>
    <col min="15620" max="15620" width="17.140625" customWidth="1"/>
    <col min="15621" max="15621" width="17.28515625" customWidth="1"/>
    <col min="15622" max="15622" width="18" customWidth="1"/>
    <col min="15623" max="15623" width="12.85546875" customWidth="1"/>
    <col min="15624" max="15624" width="16.28515625" customWidth="1"/>
    <col min="15625" max="15625" width="18.7109375" customWidth="1"/>
    <col min="15626" max="15626" width="14.140625" bestFit="1" customWidth="1"/>
    <col min="15873" max="15873" width="28.28515625" customWidth="1"/>
    <col min="15874" max="15874" width="16.42578125" customWidth="1"/>
    <col min="15875" max="15875" width="12.7109375" customWidth="1"/>
    <col min="15876" max="15876" width="17.140625" customWidth="1"/>
    <col min="15877" max="15877" width="17.28515625" customWidth="1"/>
    <col min="15878" max="15878" width="18" customWidth="1"/>
    <col min="15879" max="15879" width="12.85546875" customWidth="1"/>
    <col min="15880" max="15880" width="16.28515625" customWidth="1"/>
    <col min="15881" max="15881" width="18.7109375" customWidth="1"/>
    <col min="15882" max="15882" width="14.140625" bestFit="1" customWidth="1"/>
    <col min="16129" max="16129" width="28.28515625" customWidth="1"/>
    <col min="16130" max="16130" width="16.42578125" customWidth="1"/>
    <col min="16131" max="16131" width="12.7109375" customWidth="1"/>
    <col min="16132" max="16132" width="17.140625" customWidth="1"/>
    <col min="16133" max="16133" width="17.28515625" customWidth="1"/>
    <col min="16134" max="16134" width="18" customWidth="1"/>
    <col min="16135" max="16135" width="12.85546875" customWidth="1"/>
    <col min="16136" max="16136" width="16.28515625" customWidth="1"/>
    <col min="16137" max="16137" width="18.7109375" customWidth="1"/>
    <col min="16138" max="16138" width="14.140625" bestFit="1" customWidth="1"/>
  </cols>
  <sheetData>
    <row r="1" spans="1:10" x14ac:dyDescent="0.25">
      <c r="A1" s="127" t="s">
        <v>440</v>
      </c>
      <c r="I1" s="129" t="s">
        <v>441</v>
      </c>
    </row>
    <row r="2" spans="1:10" x14ac:dyDescent="0.25">
      <c r="A2" s="127" t="s">
        <v>442</v>
      </c>
      <c r="I2" s="130">
        <v>41430</v>
      </c>
    </row>
    <row r="3" spans="1:10" x14ac:dyDescent="0.25">
      <c r="E3" s="131"/>
    </row>
    <row r="5" spans="1:10" x14ac:dyDescent="0.25">
      <c r="A5" s="132" t="s">
        <v>444</v>
      </c>
      <c r="B5" s="127" t="s">
        <v>445</v>
      </c>
      <c r="E5" s="245"/>
      <c r="F5" s="138"/>
      <c r="G5" s="141"/>
      <c r="H5" s="137"/>
      <c r="I5" s="137"/>
      <c r="J5" s="138"/>
    </row>
    <row r="6" spans="1:10" x14ac:dyDescent="0.25">
      <c r="A6" s="132" t="s">
        <v>447</v>
      </c>
      <c r="B6" s="127" t="s">
        <v>448</v>
      </c>
      <c r="E6" s="138"/>
      <c r="F6" s="138"/>
      <c r="G6" s="141"/>
      <c r="H6" s="138"/>
      <c r="I6" s="138"/>
      <c r="J6" s="138"/>
    </row>
    <row r="7" spans="1:10" x14ac:dyDescent="0.25">
      <c r="A7" s="132" t="s">
        <v>450</v>
      </c>
      <c r="B7" s="127" t="s">
        <v>451</v>
      </c>
      <c r="C7" s="127"/>
      <c r="D7" s="139"/>
      <c r="E7" s="132" t="s">
        <v>443</v>
      </c>
      <c r="F7" s="133">
        <v>2000000</v>
      </c>
      <c r="G7" s="134"/>
      <c r="H7" s="135"/>
      <c r="I7" s="138"/>
      <c r="J7" s="138"/>
    </row>
    <row r="8" spans="1:10" x14ac:dyDescent="0.25">
      <c r="A8" s="132"/>
      <c r="B8" s="127"/>
      <c r="C8" s="140"/>
      <c r="D8" s="141"/>
      <c r="E8" s="132" t="s">
        <v>446</v>
      </c>
      <c r="F8" s="136">
        <v>41430</v>
      </c>
      <c r="G8" s="134"/>
      <c r="H8" s="135"/>
      <c r="I8" s="138"/>
      <c r="J8" s="138"/>
    </row>
    <row r="9" spans="1:10" x14ac:dyDescent="0.25">
      <c r="A9" s="132"/>
      <c r="B9" s="237" t="s">
        <v>455</v>
      </c>
      <c r="C9" s="237"/>
      <c r="D9" s="138"/>
      <c r="E9" s="132" t="s">
        <v>449</v>
      </c>
      <c r="F9" s="136">
        <v>41430</v>
      </c>
      <c r="G9" s="134"/>
      <c r="H9" s="135"/>
      <c r="I9" s="138"/>
      <c r="J9" s="138"/>
    </row>
    <row r="10" spans="1:10" x14ac:dyDescent="0.25">
      <c r="B10" s="145" t="s">
        <v>457</v>
      </c>
      <c r="C10" s="146">
        <v>1.6899999999999998E-2</v>
      </c>
      <c r="D10" s="147"/>
      <c r="E10" s="132" t="s">
        <v>452</v>
      </c>
      <c r="F10" s="136">
        <v>44013</v>
      </c>
      <c r="G10" s="134"/>
      <c r="H10" s="135"/>
      <c r="I10" s="147"/>
      <c r="J10" s="138"/>
    </row>
    <row r="11" spans="1:10" x14ac:dyDescent="0.25">
      <c r="A11" s="132"/>
      <c r="B11" s="145" t="s">
        <v>458</v>
      </c>
      <c r="C11" s="148">
        <v>1.95E-2</v>
      </c>
      <c r="D11" s="149"/>
      <c r="E11" s="132" t="s">
        <v>453</v>
      </c>
      <c r="F11" s="142" t="s">
        <v>454</v>
      </c>
      <c r="G11" s="143"/>
      <c r="H11" s="143"/>
      <c r="I11" s="149"/>
      <c r="J11" s="138"/>
    </row>
    <row r="12" spans="1:10" x14ac:dyDescent="0.25">
      <c r="A12" s="129"/>
      <c r="B12" s="150" t="s">
        <v>459</v>
      </c>
      <c r="C12" s="151">
        <f>SUM(C10:C11)</f>
        <v>3.6400000000000002E-2</v>
      </c>
      <c r="D12" s="138"/>
      <c r="E12" s="132" t="s">
        <v>456</v>
      </c>
      <c r="F12" s="144">
        <v>41487</v>
      </c>
      <c r="G12" s="144"/>
      <c r="H12" s="135"/>
      <c r="I12" s="138"/>
      <c r="J12" s="138"/>
    </row>
    <row r="13" spans="1:10" x14ac:dyDescent="0.25">
      <c r="A13" s="132"/>
      <c r="B13" s="127"/>
      <c r="C13" s="127"/>
      <c r="D13" s="138"/>
      <c r="E13" s="127"/>
      <c r="F13" s="138"/>
      <c r="G13" s="141"/>
      <c r="H13" s="152"/>
      <c r="I13" s="152"/>
      <c r="J13" s="138"/>
    </row>
    <row r="14" spans="1:10" ht="46.5" customHeight="1" thickBot="1" x14ac:dyDescent="0.3">
      <c r="A14" s="153" t="s">
        <v>460</v>
      </c>
      <c r="B14" s="238" t="s">
        <v>461</v>
      </c>
      <c r="C14" s="238"/>
      <c r="D14" s="154" t="s">
        <v>186</v>
      </c>
      <c r="E14" s="154" t="s">
        <v>462</v>
      </c>
      <c r="F14" s="154" t="s">
        <v>185</v>
      </c>
      <c r="G14" s="155" t="s">
        <v>463</v>
      </c>
      <c r="H14" s="155" t="s">
        <v>464</v>
      </c>
      <c r="I14" s="155" t="s">
        <v>465</v>
      </c>
      <c r="J14" s="138"/>
    </row>
    <row r="15" spans="1:10" ht="15.75" thickTop="1" x14ac:dyDescent="0.25">
      <c r="A15" s="141">
        <v>1</v>
      </c>
      <c r="B15" s="156">
        <v>41430</v>
      </c>
      <c r="C15" s="157">
        <v>41487</v>
      </c>
      <c r="D15" s="158">
        <v>2000000</v>
      </c>
      <c r="E15" s="159">
        <v>4064.5100000000093</v>
      </c>
      <c r="F15" s="160">
        <f t="shared" ref="F15:F78" si="0">D15-E15</f>
        <v>1995935.49</v>
      </c>
      <c r="G15" s="160">
        <f t="shared" ref="G15:G78" si="1">C15-B15</f>
        <v>57</v>
      </c>
      <c r="H15" s="160">
        <f t="shared" ref="H15:H78" si="2">(D15*$C$12)*((C15-B15)/360)</f>
        <v>11526.666666666666</v>
      </c>
      <c r="I15" s="160">
        <f t="shared" ref="I15:I78" si="3">H15+E15</f>
        <v>15591.176666666675</v>
      </c>
      <c r="J15" s="161"/>
    </row>
    <row r="16" spans="1:10" x14ac:dyDescent="0.25">
      <c r="A16" s="141">
        <v>2</v>
      </c>
      <c r="B16" s="156">
        <v>41487</v>
      </c>
      <c r="C16" s="157">
        <v>41520</v>
      </c>
      <c r="D16" s="158">
        <v>1995935.49</v>
      </c>
      <c r="E16" s="159">
        <v>3866.7099999999627</v>
      </c>
      <c r="F16" s="160">
        <f t="shared" si="0"/>
        <v>1992068.78</v>
      </c>
      <c r="G16" s="160">
        <f t="shared" si="1"/>
        <v>33</v>
      </c>
      <c r="H16" s="160">
        <f t="shared" si="2"/>
        <v>6659.7714182999998</v>
      </c>
      <c r="I16" s="160">
        <f t="shared" si="3"/>
        <v>10526.481418299962</v>
      </c>
      <c r="J16" s="161"/>
    </row>
    <row r="17" spans="1:10" x14ac:dyDescent="0.25">
      <c r="A17" s="141">
        <v>3</v>
      </c>
      <c r="B17" s="156">
        <v>41520</v>
      </c>
      <c r="C17" s="157">
        <v>41548</v>
      </c>
      <c r="D17" s="158">
        <v>1992068.78</v>
      </c>
      <c r="E17" s="159">
        <v>3879.3500000000931</v>
      </c>
      <c r="F17" s="160">
        <f t="shared" si="0"/>
        <v>1988189.43</v>
      </c>
      <c r="G17" s="160">
        <f t="shared" si="1"/>
        <v>28</v>
      </c>
      <c r="H17" s="160">
        <f t="shared" si="2"/>
        <v>5639.7680571555566</v>
      </c>
      <c r="I17" s="160">
        <f t="shared" si="3"/>
        <v>9519.1180571556506</v>
      </c>
      <c r="J17" s="161"/>
    </row>
    <row r="18" spans="1:10" x14ac:dyDescent="0.25">
      <c r="A18" s="141">
        <v>4</v>
      </c>
      <c r="B18" s="156">
        <v>41548</v>
      </c>
      <c r="C18" s="157">
        <v>41579</v>
      </c>
      <c r="D18" s="158">
        <v>1988189.43</v>
      </c>
      <c r="E18" s="159">
        <v>4101.9099999999162</v>
      </c>
      <c r="F18" s="160">
        <f t="shared" si="0"/>
        <v>1984087.52</v>
      </c>
      <c r="G18" s="160">
        <f t="shared" si="1"/>
        <v>31</v>
      </c>
      <c r="H18" s="160">
        <f t="shared" si="2"/>
        <v>6231.8693133666666</v>
      </c>
      <c r="I18" s="160">
        <f t="shared" si="3"/>
        <v>10333.779313366584</v>
      </c>
      <c r="J18" s="161"/>
    </row>
    <row r="19" spans="1:10" x14ac:dyDescent="0.25">
      <c r="A19" s="141">
        <v>5</v>
      </c>
      <c r="B19" s="156">
        <v>41579</v>
      </c>
      <c r="C19" s="157">
        <v>41610</v>
      </c>
      <c r="D19" s="158">
        <v>1984087.52</v>
      </c>
      <c r="E19" s="159">
        <v>3905.4799999999814</v>
      </c>
      <c r="F19" s="160">
        <f t="shared" si="0"/>
        <v>1980182.04</v>
      </c>
      <c r="G19" s="160">
        <f t="shared" si="1"/>
        <v>31</v>
      </c>
      <c r="H19" s="160">
        <f t="shared" si="2"/>
        <v>6219.0121043555555</v>
      </c>
      <c r="I19" s="160">
        <f t="shared" si="3"/>
        <v>10124.492104355537</v>
      </c>
      <c r="J19" s="161"/>
    </row>
    <row r="20" spans="1:10" x14ac:dyDescent="0.25">
      <c r="A20" s="141">
        <v>6</v>
      </c>
      <c r="B20" s="156">
        <v>41610</v>
      </c>
      <c r="C20" s="157">
        <v>41641</v>
      </c>
      <c r="D20" s="158">
        <v>1980182.04</v>
      </c>
      <c r="E20" s="159">
        <v>4127.2700000000186</v>
      </c>
      <c r="F20" s="160">
        <f t="shared" si="0"/>
        <v>1976054.77</v>
      </c>
      <c r="G20" s="160">
        <f t="shared" si="1"/>
        <v>31</v>
      </c>
      <c r="H20" s="160">
        <f t="shared" si="2"/>
        <v>6206.7705942666671</v>
      </c>
      <c r="I20" s="160">
        <f t="shared" si="3"/>
        <v>10334.040594266686</v>
      </c>
      <c r="J20" s="161"/>
    </row>
    <row r="21" spans="1:10" x14ac:dyDescent="0.25">
      <c r="A21" s="141">
        <v>7</v>
      </c>
      <c r="B21" s="156">
        <v>41641</v>
      </c>
      <c r="C21" s="157">
        <v>41673</v>
      </c>
      <c r="D21" s="158">
        <v>1976054.77</v>
      </c>
      <c r="E21" s="159">
        <v>3931.75</v>
      </c>
      <c r="F21" s="160">
        <f t="shared" si="0"/>
        <v>1972123.02</v>
      </c>
      <c r="G21" s="160">
        <f t="shared" si="1"/>
        <v>32</v>
      </c>
      <c r="H21" s="160">
        <f t="shared" si="2"/>
        <v>6393.6349891555565</v>
      </c>
      <c r="I21" s="160">
        <f t="shared" si="3"/>
        <v>10325.384989155556</v>
      </c>
      <c r="J21" s="161"/>
    </row>
    <row r="22" spans="1:10" x14ac:dyDescent="0.25">
      <c r="A22" s="141">
        <v>8</v>
      </c>
      <c r="B22" s="156">
        <v>41673</v>
      </c>
      <c r="C22" s="157">
        <v>41701</v>
      </c>
      <c r="D22" s="158">
        <v>1972123.02</v>
      </c>
      <c r="E22" s="159">
        <v>3944.6300000001211</v>
      </c>
      <c r="F22" s="160">
        <f t="shared" si="0"/>
        <v>1968178.39</v>
      </c>
      <c r="G22" s="160">
        <f t="shared" si="1"/>
        <v>28</v>
      </c>
      <c r="H22" s="160">
        <f t="shared" si="2"/>
        <v>5583.2993944000009</v>
      </c>
      <c r="I22" s="160">
        <f t="shared" si="3"/>
        <v>9527.929394400122</v>
      </c>
      <c r="J22" s="161"/>
    </row>
    <row r="23" spans="1:10" x14ac:dyDescent="0.25">
      <c r="A23" s="141">
        <v>9</v>
      </c>
      <c r="B23" s="156">
        <v>41701</v>
      </c>
      <c r="C23" s="157">
        <v>41730</v>
      </c>
      <c r="D23" s="158">
        <v>1968178.39</v>
      </c>
      <c r="E23" s="159">
        <v>4580.7799999997951</v>
      </c>
      <c r="F23" s="160">
        <f t="shared" si="0"/>
        <v>1963597.61</v>
      </c>
      <c r="G23" s="160">
        <f t="shared" si="1"/>
        <v>29</v>
      </c>
      <c r="H23" s="160">
        <f t="shared" si="2"/>
        <v>5771.1364124555557</v>
      </c>
      <c r="I23" s="160">
        <f t="shared" si="3"/>
        <v>10351.91641245535</v>
      </c>
      <c r="J23" s="161"/>
    </row>
    <row r="24" spans="1:10" x14ac:dyDescent="0.25">
      <c r="A24" s="141">
        <v>10</v>
      </c>
      <c r="B24" s="156">
        <v>41730</v>
      </c>
      <c r="C24" s="157">
        <v>41760</v>
      </c>
      <c r="D24" s="158">
        <v>1963597.61</v>
      </c>
      <c r="E24" s="159">
        <v>3972.5200000000186</v>
      </c>
      <c r="F24" s="160">
        <f t="shared" si="0"/>
        <v>1959625.09</v>
      </c>
      <c r="G24" s="160">
        <f t="shared" si="1"/>
        <v>30</v>
      </c>
      <c r="H24" s="160">
        <f t="shared" si="2"/>
        <v>5956.2460836666669</v>
      </c>
      <c r="I24" s="160">
        <f t="shared" si="3"/>
        <v>9928.7660836666855</v>
      </c>
      <c r="J24" s="161"/>
    </row>
    <row r="25" spans="1:10" x14ac:dyDescent="0.25">
      <c r="A25" s="141">
        <v>11</v>
      </c>
      <c r="B25" s="156">
        <v>41760</v>
      </c>
      <c r="C25" s="157">
        <v>41792</v>
      </c>
      <c r="D25" s="158">
        <v>1959625.09</v>
      </c>
      <c r="E25" s="158">
        <v>4192.3700000001118</v>
      </c>
      <c r="F25" s="160">
        <f t="shared" si="0"/>
        <v>1955432.72</v>
      </c>
      <c r="G25" s="160">
        <f t="shared" si="1"/>
        <v>32</v>
      </c>
      <c r="H25" s="160">
        <f t="shared" si="2"/>
        <v>6340.4758467555566</v>
      </c>
      <c r="I25" s="160">
        <f t="shared" si="3"/>
        <v>10532.845846755668</v>
      </c>
      <c r="J25" s="162"/>
    </row>
    <row r="26" spans="1:10" x14ac:dyDescent="0.25">
      <c r="A26" s="141">
        <v>12</v>
      </c>
      <c r="B26" s="156">
        <v>41792</v>
      </c>
      <c r="C26" s="157">
        <v>41821</v>
      </c>
      <c r="D26" s="158">
        <v>1955432.72</v>
      </c>
      <c r="E26" s="159">
        <v>3999.2399999999907</v>
      </c>
      <c r="F26" s="160">
        <f t="shared" si="0"/>
        <v>1951433.48</v>
      </c>
      <c r="G26" s="160">
        <f t="shared" si="1"/>
        <v>29</v>
      </c>
      <c r="H26" s="160">
        <f t="shared" si="2"/>
        <v>5733.7632756444455</v>
      </c>
      <c r="I26" s="160">
        <f t="shared" si="3"/>
        <v>9733.0032756444361</v>
      </c>
      <c r="J26" s="163"/>
    </row>
    <row r="27" spans="1:10" x14ac:dyDescent="0.25">
      <c r="A27" s="141">
        <v>13</v>
      </c>
      <c r="B27" s="156">
        <v>41821</v>
      </c>
      <c r="C27" s="157">
        <v>41852</v>
      </c>
      <c r="D27" s="158">
        <v>1951433.48</v>
      </c>
      <c r="E27" s="159">
        <v>4218.3000000000466</v>
      </c>
      <c r="F27" s="160">
        <f t="shared" si="0"/>
        <v>1947215.18</v>
      </c>
      <c r="G27" s="160">
        <f t="shared" si="1"/>
        <v>31</v>
      </c>
      <c r="H27" s="160">
        <f t="shared" si="2"/>
        <v>6116.65983008889</v>
      </c>
      <c r="I27" s="160">
        <f t="shared" si="3"/>
        <v>10334.959830088937</v>
      </c>
      <c r="J27" s="138"/>
    </row>
    <row r="28" spans="1:10" x14ac:dyDescent="0.25">
      <c r="A28" s="141">
        <v>14</v>
      </c>
      <c r="B28" s="156">
        <v>41852</v>
      </c>
      <c r="C28" s="157">
        <v>41884</v>
      </c>
      <c r="D28" s="158">
        <v>1947215.18</v>
      </c>
      <c r="E28" s="159">
        <v>4026.1299999998882</v>
      </c>
      <c r="F28" s="160">
        <f t="shared" si="0"/>
        <v>1943189.05</v>
      </c>
      <c r="G28" s="160">
        <f t="shared" si="1"/>
        <v>32</v>
      </c>
      <c r="H28" s="160">
        <f t="shared" si="2"/>
        <v>6300.322893511111</v>
      </c>
      <c r="I28" s="160">
        <f t="shared" si="3"/>
        <v>10326.452893510999</v>
      </c>
      <c r="J28" s="161"/>
    </row>
    <row r="29" spans="1:10" x14ac:dyDescent="0.25">
      <c r="A29" s="141">
        <v>15</v>
      </c>
      <c r="B29" s="156">
        <v>41884</v>
      </c>
      <c r="C29" s="157">
        <v>41913</v>
      </c>
      <c r="D29" s="158">
        <v>1943189.05</v>
      </c>
      <c r="E29" s="159">
        <v>4039.3000000000466</v>
      </c>
      <c r="F29" s="160">
        <f t="shared" si="0"/>
        <v>1939149.75</v>
      </c>
      <c r="G29" s="160">
        <f t="shared" si="1"/>
        <v>29</v>
      </c>
      <c r="H29" s="160">
        <f t="shared" si="2"/>
        <v>5697.8621143888895</v>
      </c>
      <c r="I29" s="160">
        <f t="shared" si="3"/>
        <v>9737.1621143889352</v>
      </c>
      <c r="J29" s="161"/>
    </row>
    <row r="30" spans="1:10" x14ac:dyDescent="0.25">
      <c r="A30" s="141">
        <v>16</v>
      </c>
      <c r="B30" s="156">
        <v>41913</v>
      </c>
      <c r="C30" s="157">
        <v>41946</v>
      </c>
      <c r="D30" s="158">
        <v>1939149.75</v>
      </c>
      <c r="E30" s="159">
        <v>4257.2099999999627</v>
      </c>
      <c r="F30" s="160">
        <f t="shared" si="0"/>
        <v>1934892.54</v>
      </c>
      <c r="G30" s="160">
        <f t="shared" si="1"/>
        <v>33</v>
      </c>
      <c r="H30" s="160">
        <f t="shared" si="2"/>
        <v>6470.2963325000001</v>
      </c>
      <c r="I30" s="160">
        <f t="shared" si="3"/>
        <v>10727.506332499963</v>
      </c>
      <c r="J30" s="161"/>
    </row>
    <row r="31" spans="1:10" x14ac:dyDescent="0.25">
      <c r="A31" s="141">
        <v>17</v>
      </c>
      <c r="B31" s="156">
        <v>41946</v>
      </c>
      <c r="C31" s="157">
        <v>41974</v>
      </c>
      <c r="D31" s="158">
        <v>1934892.54</v>
      </c>
      <c r="E31" s="159">
        <v>4066.4399999999441</v>
      </c>
      <c r="F31" s="160">
        <f t="shared" si="0"/>
        <v>1930826.1</v>
      </c>
      <c r="G31" s="160">
        <f t="shared" si="1"/>
        <v>28</v>
      </c>
      <c r="H31" s="160">
        <f t="shared" si="2"/>
        <v>5477.8957688</v>
      </c>
      <c r="I31" s="160">
        <f t="shared" si="3"/>
        <v>9544.3357687999451</v>
      </c>
      <c r="J31" s="161"/>
    </row>
    <row r="32" spans="1:10" x14ac:dyDescent="0.25">
      <c r="A32" s="141">
        <v>18</v>
      </c>
      <c r="B32" s="156">
        <v>41974</v>
      </c>
      <c r="C32" s="157">
        <v>42006</v>
      </c>
      <c r="D32" s="158">
        <v>1930826.1</v>
      </c>
      <c r="E32" s="159">
        <v>4283.5700000000652</v>
      </c>
      <c r="F32" s="160">
        <f t="shared" si="0"/>
        <v>1926542.53</v>
      </c>
      <c r="G32" s="160">
        <f t="shared" si="1"/>
        <v>32</v>
      </c>
      <c r="H32" s="160">
        <f t="shared" si="2"/>
        <v>6247.2951146666674</v>
      </c>
      <c r="I32" s="160">
        <f t="shared" si="3"/>
        <v>10530.865114666733</v>
      </c>
      <c r="J32" s="164"/>
    </row>
    <row r="33" spans="1:10" x14ac:dyDescent="0.25">
      <c r="A33" s="141">
        <v>19</v>
      </c>
      <c r="B33" s="156">
        <v>42006</v>
      </c>
      <c r="C33" s="157">
        <v>42037</v>
      </c>
      <c r="D33" s="158">
        <v>1926542.53</v>
      </c>
      <c r="E33" s="159">
        <v>4093.7700000000186</v>
      </c>
      <c r="F33" s="160">
        <f t="shared" si="0"/>
        <v>1922448.76</v>
      </c>
      <c r="G33" s="160">
        <f t="shared" si="1"/>
        <v>31</v>
      </c>
      <c r="H33" s="160">
        <f t="shared" si="2"/>
        <v>6038.6405301444447</v>
      </c>
      <c r="I33" s="160">
        <f t="shared" si="3"/>
        <v>10132.410530144463</v>
      </c>
      <c r="J33" s="164"/>
    </row>
    <row r="34" spans="1:10" x14ac:dyDescent="0.25">
      <c r="A34" s="141">
        <v>20</v>
      </c>
      <c r="B34" s="156">
        <v>42037</v>
      </c>
      <c r="C34" s="157">
        <v>42065</v>
      </c>
      <c r="D34" s="158">
        <v>1922448.76</v>
      </c>
      <c r="E34" s="159">
        <v>4107.1699999999255</v>
      </c>
      <c r="F34" s="160">
        <f t="shared" si="0"/>
        <v>1918341.59</v>
      </c>
      <c r="G34" s="160">
        <f t="shared" si="1"/>
        <v>28</v>
      </c>
      <c r="H34" s="160">
        <f t="shared" si="2"/>
        <v>5442.6660449777783</v>
      </c>
      <c r="I34" s="160">
        <f t="shared" si="3"/>
        <v>9549.8360449777028</v>
      </c>
      <c r="J34" s="164"/>
    </row>
    <row r="35" spans="1:10" x14ac:dyDescent="0.25">
      <c r="A35" s="141">
        <v>21</v>
      </c>
      <c r="B35" s="156">
        <v>42065</v>
      </c>
      <c r="C35" s="157">
        <v>42095</v>
      </c>
      <c r="D35" s="158">
        <v>1918341.59</v>
      </c>
      <c r="E35" s="159">
        <v>4728.0800000000745</v>
      </c>
      <c r="F35" s="160">
        <f t="shared" si="0"/>
        <v>1913613.51</v>
      </c>
      <c r="G35" s="160">
        <f t="shared" si="1"/>
        <v>30</v>
      </c>
      <c r="H35" s="160">
        <f t="shared" si="2"/>
        <v>5818.969489666667</v>
      </c>
      <c r="I35" s="160">
        <f t="shared" si="3"/>
        <v>10547.049489666741</v>
      </c>
      <c r="J35" s="164"/>
    </row>
    <row r="36" spans="1:10" x14ac:dyDescent="0.25">
      <c r="A36" s="141">
        <v>22</v>
      </c>
      <c r="B36" s="156">
        <v>42095</v>
      </c>
      <c r="C36" s="157">
        <v>42125</v>
      </c>
      <c r="D36" s="158">
        <v>1913613.51</v>
      </c>
      <c r="E36" s="159">
        <v>4136.0800000000745</v>
      </c>
      <c r="F36" s="160">
        <f t="shared" si="0"/>
        <v>1909477.43</v>
      </c>
      <c r="G36" s="160">
        <f t="shared" si="1"/>
        <v>30</v>
      </c>
      <c r="H36" s="160">
        <f t="shared" si="2"/>
        <v>5804.6276469999993</v>
      </c>
      <c r="I36" s="160">
        <f t="shared" si="3"/>
        <v>9940.7076470000738</v>
      </c>
      <c r="J36" s="164"/>
    </row>
    <row r="37" spans="1:10" x14ac:dyDescent="0.25">
      <c r="A37" s="141">
        <v>23</v>
      </c>
      <c r="B37" s="156">
        <v>42125</v>
      </c>
      <c r="C37" s="157">
        <v>42156</v>
      </c>
      <c r="D37" s="158">
        <v>1909477.43</v>
      </c>
      <c r="E37" s="159">
        <v>4351.1699999999255</v>
      </c>
      <c r="F37" s="160">
        <f t="shared" si="0"/>
        <v>1905126.26</v>
      </c>
      <c r="G37" s="160">
        <f t="shared" si="1"/>
        <v>31</v>
      </c>
      <c r="H37" s="160">
        <f t="shared" si="2"/>
        <v>5985.1509222555551</v>
      </c>
      <c r="I37" s="160">
        <f t="shared" si="3"/>
        <v>10336.32092225548</v>
      </c>
      <c r="J37" s="164"/>
    </row>
    <row r="38" spans="1:10" x14ac:dyDescent="0.25">
      <c r="A38" s="141">
        <v>24</v>
      </c>
      <c r="B38" s="156">
        <v>42156</v>
      </c>
      <c r="C38" s="157">
        <v>42186</v>
      </c>
      <c r="D38" s="158">
        <v>1905126.26</v>
      </c>
      <c r="E38" s="159">
        <v>4163.8500000000931</v>
      </c>
      <c r="F38" s="160">
        <f t="shared" si="0"/>
        <v>1900962.41</v>
      </c>
      <c r="G38" s="160">
        <f t="shared" si="1"/>
        <v>30</v>
      </c>
      <c r="H38" s="160">
        <f t="shared" si="2"/>
        <v>5778.8829886666663</v>
      </c>
      <c r="I38" s="160">
        <f t="shared" si="3"/>
        <v>9942.7329886667594</v>
      </c>
      <c r="J38" s="164"/>
    </row>
    <row r="39" spans="1:10" x14ac:dyDescent="0.25">
      <c r="A39" s="141">
        <v>25</v>
      </c>
      <c r="B39" s="156">
        <v>42186</v>
      </c>
      <c r="C39" s="157">
        <v>42219</v>
      </c>
      <c r="D39" s="158">
        <v>1900962.41</v>
      </c>
      <c r="E39" s="159">
        <v>4378.1299999998882</v>
      </c>
      <c r="F39" s="160">
        <f t="shared" si="0"/>
        <v>1896584.28</v>
      </c>
      <c r="G39" s="160">
        <f t="shared" si="1"/>
        <v>33</v>
      </c>
      <c r="H39" s="160">
        <f t="shared" si="2"/>
        <v>6342.8779080333334</v>
      </c>
      <c r="I39" s="160">
        <f t="shared" si="3"/>
        <v>10721.007908033222</v>
      </c>
      <c r="J39" s="164"/>
    </row>
    <row r="40" spans="1:10" x14ac:dyDescent="0.25">
      <c r="A40" s="141">
        <v>26</v>
      </c>
      <c r="B40" s="156">
        <v>42219</v>
      </c>
      <c r="C40" s="157">
        <v>42248</v>
      </c>
      <c r="D40" s="158">
        <v>1896584.28</v>
      </c>
      <c r="E40" s="159">
        <v>4191.8000000000466</v>
      </c>
      <c r="F40" s="160">
        <f t="shared" si="0"/>
        <v>1892392.48</v>
      </c>
      <c r="G40" s="160">
        <f t="shared" si="1"/>
        <v>29</v>
      </c>
      <c r="H40" s="160">
        <f t="shared" si="2"/>
        <v>5561.2065721333347</v>
      </c>
      <c r="I40" s="160">
        <f t="shared" si="3"/>
        <v>9753.0065721333813</v>
      </c>
      <c r="J40" s="164"/>
    </row>
    <row r="41" spans="1:10" x14ac:dyDescent="0.25">
      <c r="A41" s="141">
        <v>27</v>
      </c>
      <c r="B41" s="156">
        <v>42248</v>
      </c>
      <c r="C41" s="157">
        <v>42278</v>
      </c>
      <c r="D41" s="158">
        <v>1892392.48</v>
      </c>
      <c r="E41" s="159">
        <v>4205.5200000000186</v>
      </c>
      <c r="F41" s="160">
        <f t="shared" si="0"/>
        <v>1888186.96</v>
      </c>
      <c r="G41" s="160">
        <f t="shared" si="1"/>
        <v>30</v>
      </c>
      <c r="H41" s="160">
        <f t="shared" si="2"/>
        <v>5740.2571893333334</v>
      </c>
      <c r="I41" s="160">
        <f t="shared" si="3"/>
        <v>9945.777189333352</v>
      </c>
      <c r="J41" s="164"/>
    </row>
    <row r="42" spans="1:10" x14ac:dyDescent="0.25">
      <c r="A42" s="141">
        <v>28</v>
      </c>
      <c r="B42" s="156">
        <v>42278</v>
      </c>
      <c r="C42" s="157">
        <v>42310</v>
      </c>
      <c r="D42" s="158">
        <v>1888186.96</v>
      </c>
      <c r="E42" s="159">
        <v>4418.589999999851</v>
      </c>
      <c r="F42" s="160">
        <f t="shared" si="0"/>
        <v>1883768.37</v>
      </c>
      <c r="G42" s="160">
        <f t="shared" si="1"/>
        <v>32</v>
      </c>
      <c r="H42" s="160">
        <f t="shared" si="2"/>
        <v>6109.3338083555564</v>
      </c>
      <c r="I42" s="160">
        <f t="shared" si="3"/>
        <v>10527.923808355408</v>
      </c>
      <c r="J42" s="164"/>
    </row>
    <row r="43" spans="1:10" x14ac:dyDescent="0.25">
      <c r="A43" s="141">
        <v>29</v>
      </c>
      <c r="B43" s="156">
        <v>42310</v>
      </c>
      <c r="C43" s="157">
        <v>42339</v>
      </c>
      <c r="D43" s="158">
        <v>1883768.37</v>
      </c>
      <c r="E43" s="159">
        <v>4233.7300000002142</v>
      </c>
      <c r="F43" s="160">
        <f t="shared" si="0"/>
        <v>1879534.64</v>
      </c>
      <c r="G43" s="160">
        <f t="shared" si="1"/>
        <v>29</v>
      </c>
      <c r="H43" s="160">
        <f t="shared" si="2"/>
        <v>5523.6274760333345</v>
      </c>
      <c r="I43" s="160">
        <f t="shared" si="3"/>
        <v>9757.3574760335487</v>
      </c>
      <c r="J43" s="164"/>
    </row>
    <row r="44" spans="1:10" x14ac:dyDescent="0.25">
      <c r="A44" s="141">
        <v>30</v>
      </c>
      <c r="B44" s="156">
        <v>42339</v>
      </c>
      <c r="C44" s="157">
        <v>42373</v>
      </c>
      <c r="D44" s="158">
        <v>1879534.64</v>
      </c>
      <c r="E44" s="159">
        <v>4445.9899999999907</v>
      </c>
      <c r="F44" s="160">
        <f t="shared" si="0"/>
        <v>1875088.65</v>
      </c>
      <c r="G44" s="160">
        <f t="shared" si="1"/>
        <v>34</v>
      </c>
      <c r="H44" s="160">
        <f t="shared" si="2"/>
        <v>6461.4224179555549</v>
      </c>
      <c r="I44" s="160">
        <f t="shared" si="3"/>
        <v>10907.412417955546</v>
      </c>
      <c r="J44" s="164"/>
    </row>
    <row r="45" spans="1:10" x14ac:dyDescent="0.25">
      <c r="A45" s="141">
        <v>31</v>
      </c>
      <c r="B45" s="156">
        <v>42373</v>
      </c>
      <c r="C45" s="157">
        <v>42401</v>
      </c>
      <c r="D45" s="158">
        <v>1875088.65</v>
      </c>
      <c r="E45" s="159">
        <v>4262.1399999998976</v>
      </c>
      <c r="F45" s="160">
        <f t="shared" si="0"/>
        <v>1870826.51</v>
      </c>
      <c r="G45" s="160">
        <f t="shared" si="1"/>
        <v>28</v>
      </c>
      <c r="H45" s="160">
        <f t="shared" si="2"/>
        <v>5308.5843113333331</v>
      </c>
      <c r="I45" s="160">
        <f t="shared" si="3"/>
        <v>9570.7243113332297</v>
      </c>
      <c r="J45" s="164"/>
    </row>
    <row r="46" spans="1:10" x14ac:dyDescent="0.25">
      <c r="A46" s="141">
        <v>32</v>
      </c>
      <c r="B46" s="156">
        <v>42401</v>
      </c>
      <c r="C46" s="157">
        <v>42430</v>
      </c>
      <c r="D46" s="158">
        <v>1870826.51</v>
      </c>
      <c r="E46" s="159">
        <v>4276.0900000000838</v>
      </c>
      <c r="F46" s="160">
        <f t="shared" si="0"/>
        <v>1866550.42</v>
      </c>
      <c r="G46" s="160">
        <f t="shared" si="1"/>
        <v>29</v>
      </c>
      <c r="H46" s="160">
        <f t="shared" si="2"/>
        <v>5485.679066544446</v>
      </c>
      <c r="I46" s="160">
        <f t="shared" si="3"/>
        <v>9761.7690665445298</v>
      </c>
      <c r="J46" s="164"/>
    </row>
    <row r="47" spans="1:10" x14ac:dyDescent="0.25">
      <c r="A47" s="141">
        <v>33</v>
      </c>
      <c r="B47" s="156">
        <v>42430</v>
      </c>
      <c r="C47" s="157">
        <v>42461</v>
      </c>
      <c r="D47" s="158">
        <v>1866550.42</v>
      </c>
      <c r="E47" s="159">
        <v>4684.1299999998882</v>
      </c>
      <c r="F47" s="160">
        <f t="shared" si="0"/>
        <v>1861866.29</v>
      </c>
      <c r="G47" s="160">
        <f t="shared" si="1"/>
        <v>31</v>
      </c>
      <c r="H47" s="160">
        <f t="shared" si="2"/>
        <v>5850.5985942444449</v>
      </c>
      <c r="I47" s="160">
        <f t="shared" si="3"/>
        <v>10534.728594244334</v>
      </c>
      <c r="J47" s="164"/>
    </row>
    <row r="48" spans="1:10" x14ac:dyDescent="0.25">
      <c r="A48" s="141">
        <v>34</v>
      </c>
      <c r="B48" s="156">
        <v>42461</v>
      </c>
      <c r="C48" s="157">
        <v>42493</v>
      </c>
      <c r="D48" s="158">
        <v>1861866.29</v>
      </c>
      <c r="E48" s="159">
        <v>4305.4000000001397</v>
      </c>
      <c r="F48" s="160">
        <f t="shared" si="0"/>
        <v>1857560.89</v>
      </c>
      <c r="G48" s="160">
        <f t="shared" si="1"/>
        <v>32</v>
      </c>
      <c r="H48" s="160">
        <f t="shared" si="2"/>
        <v>6024.1718183111116</v>
      </c>
      <c r="I48" s="160">
        <f t="shared" si="3"/>
        <v>10329.571818311251</v>
      </c>
      <c r="J48" s="164"/>
    </row>
    <row r="49" spans="1:15" x14ac:dyDescent="0.25">
      <c r="A49" s="141">
        <v>35</v>
      </c>
      <c r="B49" s="156">
        <v>42493</v>
      </c>
      <c r="C49" s="157">
        <v>42522</v>
      </c>
      <c r="D49" s="158">
        <v>1857560.89</v>
      </c>
      <c r="E49" s="159">
        <v>4515.5799999998417</v>
      </c>
      <c r="F49" s="160">
        <f t="shared" si="0"/>
        <v>1853045.31</v>
      </c>
      <c r="G49" s="160">
        <f t="shared" si="1"/>
        <v>29</v>
      </c>
      <c r="H49" s="160">
        <f t="shared" si="2"/>
        <v>5446.7813207888894</v>
      </c>
      <c r="I49" s="160">
        <f t="shared" si="3"/>
        <v>9962.361320788732</v>
      </c>
      <c r="J49" s="164"/>
    </row>
    <row r="50" spans="1:15" x14ac:dyDescent="0.25">
      <c r="A50" s="141">
        <v>36</v>
      </c>
      <c r="B50" s="156">
        <v>42522</v>
      </c>
      <c r="C50" s="157">
        <v>42552</v>
      </c>
      <c r="D50" s="158">
        <v>1853045.31</v>
      </c>
      <c r="E50" s="159">
        <v>4334.2700000000186</v>
      </c>
      <c r="F50" s="160">
        <f t="shared" si="0"/>
        <v>1848711.04</v>
      </c>
      <c r="G50" s="160">
        <f t="shared" si="1"/>
        <v>30</v>
      </c>
      <c r="H50" s="160">
        <f t="shared" si="2"/>
        <v>5620.9041070000003</v>
      </c>
      <c r="I50" s="160">
        <f t="shared" si="3"/>
        <v>9955.1741070000189</v>
      </c>
      <c r="J50" s="164"/>
    </row>
    <row r="51" spans="1:15" x14ac:dyDescent="0.25">
      <c r="A51" s="141">
        <v>37</v>
      </c>
      <c r="B51" s="156">
        <v>42552</v>
      </c>
      <c r="C51" s="157">
        <v>42583</v>
      </c>
      <c r="D51" s="158">
        <v>1848711.04</v>
      </c>
      <c r="E51" s="159">
        <v>4543.5900000000838</v>
      </c>
      <c r="F51" s="160">
        <f t="shared" si="0"/>
        <v>1844167.45</v>
      </c>
      <c r="G51" s="160">
        <f t="shared" si="1"/>
        <v>31</v>
      </c>
      <c r="H51" s="160">
        <f t="shared" si="2"/>
        <v>5794.6820487111117</v>
      </c>
      <c r="I51" s="160">
        <f t="shared" si="3"/>
        <v>10338.272048711195</v>
      </c>
      <c r="J51" s="138"/>
    </row>
    <row r="52" spans="1:15" x14ac:dyDescent="0.25">
      <c r="A52" s="141">
        <f>A51+1</f>
        <v>38</v>
      </c>
      <c r="B52" s="156">
        <v>42583</v>
      </c>
      <c r="C52" s="157">
        <v>42614</v>
      </c>
      <c r="D52" s="158">
        <v>1844167.45</v>
      </c>
      <c r="E52" s="159">
        <v>4363.3200000000652</v>
      </c>
      <c r="F52" s="160">
        <f t="shared" si="0"/>
        <v>1839804.13</v>
      </c>
      <c r="G52" s="160">
        <f t="shared" si="1"/>
        <v>31</v>
      </c>
      <c r="H52" s="160">
        <f t="shared" si="2"/>
        <v>5780.4404182777771</v>
      </c>
      <c r="I52" s="160">
        <f t="shared" si="3"/>
        <v>10143.760418277841</v>
      </c>
      <c r="J52" s="138"/>
    </row>
    <row r="53" spans="1:15" x14ac:dyDescent="0.25">
      <c r="A53" s="141">
        <f t="shared" ref="A53:A98" si="4">A52+1</f>
        <v>39</v>
      </c>
      <c r="B53" s="156">
        <v>42614</v>
      </c>
      <c r="C53" s="157">
        <v>42646</v>
      </c>
      <c r="D53" s="158">
        <v>1839804.13</v>
      </c>
      <c r="E53" s="159">
        <v>4377.5999999998603</v>
      </c>
      <c r="F53" s="160">
        <f t="shared" si="0"/>
        <v>1835426.53</v>
      </c>
      <c r="G53" s="160">
        <f t="shared" si="1"/>
        <v>32</v>
      </c>
      <c r="H53" s="160">
        <f t="shared" si="2"/>
        <v>5952.7884739555566</v>
      </c>
      <c r="I53" s="160">
        <f t="shared" si="3"/>
        <v>10330.388473955416</v>
      </c>
      <c r="J53" s="138"/>
    </row>
    <row r="54" spans="1:15" x14ac:dyDescent="0.25">
      <c r="A54" s="141">
        <f t="shared" si="4"/>
        <v>40</v>
      </c>
      <c r="B54" s="156">
        <v>42646</v>
      </c>
      <c r="C54" s="157">
        <v>42675</v>
      </c>
      <c r="D54" s="158">
        <v>1835426.53</v>
      </c>
      <c r="E54" s="159">
        <v>4585.6599999999162</v>
      </c>
      <c r="F54" s="160">
        <f t="shared" si="0"/>
        <v>1830840.87</v>
      </c>
      <c r="G54" s="160">
        <f t="shared" si="1"/>
        <v>29</v>
      </c>
      <c r="H54" s="160">
        <f t="shared" si="2"/>
        <v>5381.8784585222238</v>
      </c>
      <c r="I54" s="160">
        <f t="shared" si="3"/>
        <v>9967.53845852214</v>
      </c>
      <c r="J54" s="138"/>
    </row>
    <row r="55" spans="1:15" x14ac:dyDescent="0.25">
      <c r="A55" s="141">
        <f t="shared" si="4"/>
        <v>41</v>
      </c>
      <c r="B55" s="156">
        <v>42675</v>
      </c>
      <c r="C55" s="157">
        <v>42705</v>
      </c>
      <c r="D55" s="158">
        <v>1830840.87</v>
      </c>
      <c r="E55" s="159">
        <v>4406.9300000001676</v>
      </c>
      <c r="F55" s="160">
        <f t="shared" si="0"/>
        <v>1826433.94</v>
      </c>
      <c r="G55" s="160">
        <f t="shared" si="1"/>
        <v>30</v>
      </c>
      <c r="H55" s="160">
        <f t="shared" si="2"/>
        <v>5553.550639000001</v>
      </c>
      <c r="I55" s="160">
        <f t="shared" si="3"/>
        <v>9960.4806390001686</v>
      </c>
      <c r="J55" s="138"/>
    </row>
    <row r="56" spans="1:15" x14ac:dyDescent="0.25">
      <c r="A56" s="141">
        <f t="shared" si="4"/>
        <v>42</v>
      </c>
      <c r="B56" s="156">
        <v>42705</v>
      </c>
      <c r="C56" s="157">
        <v>42738</v>
      </c>
      <c r="D56" s="158">
        <v>1826433.94</v>
      </c>
      <c r="E56" s="159">
        <v>4614.1399999998976</v>
      </c>
      <c r="F56" s="160">
        <f t="shared" si="0"/>
        <v>1821819.8</v>
      </c>
      <c r="G56" s="160">
        <f t="shared" si="1"/>
        <v>33</v>
      </c>
      <c r="H56" s="160">
        <f t="shared" si="2"/>
        <v>6094.2012464666668</v>
      </c>
      <c r="I56" s="160">
        <f t="shared" si="3"/>
        <v>10708.341246466563</v>
      </c>
      <c r="J56" s="138"/>
    </row>
    <row r="57" spans="1:15" x14ac:dyDescent="0.25">
      <c r="A57" s="141">
        <f t="shared" si="4"/>
        <v>43</v>
      </c>
      <c r="B57" s="156">
        <v>42738</v>
      </c>
      <c r="C57" s="157">
        <v>42767</v>
      </c>
      <c r="D57" s="158">
        <v>1821819.8</v>
      </c>
      <c r="E57" s="159">
        <v>4436.4499999999534</v>
      </c>
      <c r="F57" s="160">
        <f t="shared" si="0"/>
        <v>1817383.35</v>
      </c>
      <c r="G57" s="160">
        <f t="shared" si="1"/>
        <v>29</v>
      </c>
      <c r="H57" s="160">
        <f t="shared" si="2"/>
        <v>5341.9805024444449</v>
      </c>
      <c r="I57" s="160">
        <f t="shared" si="3"/>
        <v>9778.4305024443984</v>
      </c>
      <c r="J57" s="138"/>
      <c r="L57">
        <v>4436.4499999999534</v>
      </c>
      <c r="M57" t="str">
        <f>LEFT(L57,7)</f>
        <v>4436.44</v>
      </c>
      <c r="N57" s="246">
        <v>-4436.4399999999996</v>
      </c>
      <c r="O57">
        <f>-N57</f>
        <v>4436.4399999999996</v>
      </c>
    </row>
    <row r="58" spans="1:15" x14ac:dyDescent="0.25">
      <c r="A58" s="141">
        <f t="shared" si="4"/>
        <v>44</v>
      </c>
      <c r="B58" s="156">
        <v>42767</v>
      </c>
      <c r="C58" s="157">
        <v>42795</v>
      </c>
      <c r="D58" s="158">
        <v>1817383.35</v>
      </c>
      <c r="E58" s="159">
        <v>4450.9600000001956</v>
      </c>
      <c r="F58" s="160">
        <f t="shared" si="0"/>
        <v>1812932.39</v>
      </c>
      <c r="G58" s="160">
        <f t="shared" si="1"/>
        <v>28</v>
      </c>
      <c r="H58" s="160">
        <f t="shared" si="2"/>
        <v>5145.2141953333339</v>
      </c>
      <c r="I58" s="160">
        <f t="shared" si="3"/>
        <v>9596.1741953335295</v>
      </c>
      <c r="J58" s="138"/>
      <c r="L58">
        <v>4450.9600000001956</v>
      </c>
      <c r="M58" t="str">
        <f t="shared" ref="M58:M68" si="5">LEFT(L58,7)</f>
        <v>4450.96</v>
      </c>
      <c r="N58" s="246">
        <v>-4450.96</v>
      </c>
      <c r="O58">
        <f t="shared" ref="O58:O68" si="6">-N58</f>
        <v>4450.96</v>
      </c>
    </row>
    <row r="59" spans="1:15" x14ac:dyDescent="0.25">
      <c r="A59" s="141">
        <f t="shared" si="4"/>
        <v>45</v>
      </c>
      <c r="B59" s="156">
        <v>42795</v>
      </c>
      <c r="C59" s="157">
        <v>42828</v>
      </c>
      <c r="D59" s="158">
        <v>1812932.39</v>
      </c>
      <c r="E59" s="159">
        <v>5039.6299999998882</v>
      </c>
      <c r="F59" s="160">
        <f t="shared" si="0"/>
        <v>1807892.76</v>
      </c>
      <c r="G59" s="160">
        <f t="shared" si="1"/>
        <v>33</v>
      </c>
      <c r="H59" s="160">
        <f t="shared" si="2"/>
        <v>6049.1510746333333</v>
      </c>
      <c r="I59" s="160">
        <f t="shared" si="3"/>
        <v>11088.781074633222</v>
      </c>
      <c r="J59" s="138"/>
      <c r="L59">
        <v>5039.6299999998882</v>
      </c>
      <c r="M59" t="str">
        <f t="shared" si="5"/>
        <v>5039.62</v>
      </c>
      <c r="N59" s="246">
        <v>-5039.62</v>
      </c>
      <c r="O59">
        <f t="shared" si="6"/>
        <v>5039.62</v>
      </c>
    </row>
    <row r="60" spans="1:15" x14ac:dyDescent="0.25">
      <c r="A60" s="141">
        <f t="shared" si="4"/>
        <v>46</v>
      </c>
      <c r="B60" s="156">
        <v>42828</v>
      </c>
      <c r="C60" s="157">
        <v>42857</v>
      </c>
      <c r="D60" s="158">
        <v>1807892.76</v>
      </c>
      <c r="E60" s="159">
        <v>4482.0200000000186</v>
      </c>
      <c r="F60" s="160">
        <f t="shared" si="0"/>
        <v>1803410.74</v>
      </c>
      <c r="G60" s="160">
        <f t="shared" si="1"/>
        <v>29</v>
      </c>
      <c r="H60" s="160">
        <f t="shared" si="2"/>
        <v>5301.1433262666669</v>
      </c>
      <c r="I60" s="160">
        <f t="shared" si="3"/>
        <v>9783.1633262666855</v>
      </c>
      <c r="J60" s="138"/>
      <c r="L60">
        <v>4482.0200000000186</v>
      </c>
      <c r="M60" t="str">
        <f t="shared" si="5"/>
        <v>4482.02</v>
      </c>
      <c r="N60" s="246">
        <v>-4482.0200000000004</v>
      </c>
      <c r="O60">
        <f t="shared" si="6"/>
        <v>4482.0200000000004</v>
      </c>
    </row>
    <row r="61" spans="1:15" x14ac:dyDescent="0.25">
      <c r="A61" s="141">
        <f t="shared" si="4"/>
        <v>47</v>
      </c>
      <c r="B61" s="156">
        <v>42857</v>
      </c>
      <c r="C61" s="157">
        <v>42887</v>
      </c>
      <c r="D61" s="158">
        <v>1803410.74</v>
      </c>
      <c r="E61" s="159">
        <v>4687.0500000000466</v>
      </c>
      <c r="F61" s="160">
        <f t="shared" si="0"/>
        <v>1798723.69</v>
      </c>
      <c r="G61" s="160">
        <f t="shared" si="1"/>
        <v>30</v>
      </c>
      <c r="H61" s="160">
        <f t="shared" si="2"/>
        <v>5470.3459113333338</v>
      </c>
      <c r="I61" s="160">
        <f t="shared" si="3"/>
        <v>10157.39591133338</v>
      </c>
      <c r="J61" s="138"/>
      <c r="L61">
        <v>4687.0500000000466</v>
      </c>
      <c r="M61" t="str">
        <f t="shared" si="5"/>
        <v>4687.05</v>
      </c>
      <c r="N61" s="246">
        <v>-4687.05</v>
      </c>
      <c r="O61">
        <f t="shared" si="6"/>
        <v>4687.05</v>
      </c>
    </row>
    <row r="62" spans="1:15" x14ac:dyDescent="0.25">
      <c r="A62" s="141">
        <f t="shared" si="4"/>
        <v>48</v>
      </c>
      <c r="B62" s="156">
        <v>42887</v>
      </c>
      <c r="C62" s="157">
        <v>42919</v>
      </c>
      <c r="D62" s="158">
        <v>1798723.69</v>
      </c>
      <c r="E62" s="159">
        <v>4512.0200000000186</v>
      </c>
      <c r="F62" s="160">
        <f t="shared" si="0"/>
        <v>1794211.67</v>
      </c>
      <c r="G62" s="160">
        <f t="shared" si="1"/>
        <v>32</v>
      </c>
      <c r="H62" s="160">
        <f t="shared" si="2"/>
        <v>5819.8704280888887</v>
      </c>
      <c r="I62" s="160">
        <f t="shared" si="3"/>
        <v>10331.890428088907</v>
      </c>
      <c r="J62" s="138"/>
      <c r="L62">
        <v>4512.0200000000186</v>
      </c>
      <c r="M62" t="str">
        <f t="shared" si="5"/>
        <v>4512.02</v>
      </c>
      <c r="N62" s="246">
        <v>-4512.0200000000004</v>
      </c>
      <c r="O62">
        <f t="shared" si="6"/>
        <v>4512.0200000000004</v>
      </c>
    </row>
    <row r="63" spans="1:15" x14ac:dyDescent="0.25">
      <c r="A63" s="141">
        <f t="shared" si="4"/>
        <v>49</v>
      </c>
      <c r="B63" s="156">
        <v>42919</v>
      </c>
      <c r="C63" s="157">
        <v>42948</v>
      </c>
      <c r="D63" s="158">
        <v>1794211.67</v>
      </c>
      <c r="E63" s="159">
        <v>4716.1799999999348</v>
      </c>
      <c r="F63" s="160">
        <f t="shared" si="0"/>
        <v>1789495.49</v>
      </c>
      <c r="G63" s="160">
        <f t="shared" si="1"/>
        <v>29</v>
      </c>
      <c r="H63" s="160">
        <f t="shared" si="2"/>
        <v>5261.0273301444449</v>
      </c>
      <c r="I63" s="160">
        <f t="shared" si="3"/>
        <v>9977.2073301443797</v>
      </c>
      <c r="J63" s="138"/>
      <c r="L63">
        <v>4716.1799999999348</v>
      </c>
      <c r="M63" t="str">
        <f t="shared" si="5"/>
        <v>4716.17</v>
      </c>
      <c r="N63" s="246">
        <v>-4716.17</v>
      </c>
      <c r="O63">
        <f t="shared" si="6"/>
        <v>4716.17</v>
      </c>
    </row>
    <row r="64" spans="1:15" x14ac:dyDescent="0.25">
      <c r="A64" s="141">
        <f t="shared" si="4"/>
        <v>50</v>
      </c>
      <c r="B64" s="156">
        <v>42948</v>
      </c>
      <c r="C64" s="157">
        <v>42979</v>
      </c>
      <c r="D64" s="158">
        <v>1789495.49</v>
      </c>
      <c r="E64" s="159">
        <v>4542.2199999999721</v>
      </c>
      <c r="F64" s="160">
        <f t="shared" si="0"/>
        <v>1784953.27</v>
      </c>
      <c r="G64" s="160">
        <f t="shared" si="1"/>
        <v>31</v>
      </c>
      <c r="H64" s="160">
        <f t="shared" si="2"/>
        <v>5609.0741969888886</v>
      </c>
      <c r="I64" s="160">
        <f t="shared" si="3"/>
        <v>10151.29419698886</v>
      </c>
      <c r="J64" s="138"/>
      <c r="L64">
        <v>4542.2199999999721</v>
      </c>
      <c r="M64" t="str">
        <f t="shared" si="5"/>
        <v>4542.21</v>
      </c>
      <c r="N64" s="246">
        <v>-4542.21</v>
      </c>
      <c r="O64">
        <f t="shared" si="6"/>
        <v>4542.21</v>
      </c>
    </row>
    <row r="65" spans="1:15" x14ac:dyDescent="0.25">
      <c r="A65" s="141">
        <f t="shared" si="4"/>
        <v>51</v>
      </c>
      <c r="B65" s="156">
        <v>42979</v>
      </c>
      <c r="C65" s="157">
        <v>43010</v>
      </c>
      <c r="D65" s="158">
        <v>1784953.27</v>
      </c>
      <c r="E65" s="159">
        <v>4557.0800000000745</v>
      </c>
      <c r="F65" s="160">
        <f t="shared" si="0"/>
        <v>1780396.19</v>
      </c>
      <c r="G65" s="160">
        <f t="shared" si="1"/>
        <v>31</v>
      </c>
      <c r="H65" s="160">
        <f t="shared" si="2"/>
        <v>5594.8368607444445</v>
      </c>
      <c r="I65" s="160">
        <f t="shared" si="3"/>
        <v>10151.916860744519</v>
      </c>
      <c r="J65" s="138"/>
      <c r="L65">
        <v>4557.0800000000745</v>
      </c>
      <c r="M65" t="str">
        <f t="shared" si="5"/>
        <v>4557.08</v>
      </c>
      <c r="N65" s="246">
        <v>-4557.08</v>
      </c>
      <c r="O65">
        <f t="shared" si="6"/>
        <v>4557.08</v>
      </c>
    </row>
    <row r="66" spans="1:15" x14ac:dyDescent="0.25">
      <c r="A66" s="141">
        <f t="shared" si="4"/>
        <v>52</v>
      </c>
      <c r="B66" s="156">
        <v>43010</v>
      </c>
      <c r="C66" s="157">
        <v>43040</v>
      </c>
      <c r="D66" s="158">
        <v>1780396.19</v>
      </c>
      <c r="E66" s="159">
        <v>4759.9199999999255</v>
      </c>
      <c r="F66" s="160">
        <f t="shared" si="0"/>
        <v>1775636.27</v>
      </c>
      <c r="G66" s="160">
        <f t="shared" si="1"/>
        <v>30</v>
      </c>
      <c r="H66" s="160">
        <f t="shared" si="2"/>
        <v>5400.5351096666664</v>
      </c>
      <c r="I66" s="160">
        <f t="shared" si="3"/>
        <v>10160.455109666593</v>
      </c>
      <c r="J66" s="138"/>
      <c r="L66">
        <v>4759.9199999999255</v>
      </c>
      <c r="M66" t="str">
        <f t="shared" si="5"/>
        <v>4759.91</v>
      </c>
      <c r="N66" s="246">
        <v>-4759.91</v>
      </c>
      <c r="O66">
        <f t="shared" si="6"/>
        <v>4759.91</v>
      </c>
    </row>
    <row r="67" spans="1:15" x14ac:dyDescent="0.25">
      <c r="A67" s="141">
        <f t="shared" si="4"/>
        <v>53</v>
      </c>
      <c r="B67" s="156">
        <v>43040</v>
      </c>
      <c r="C67" s="157">
        <v>43070</v>
      </c>
      <c r="D67" s="158">
        <v>1775636.27</v>
      </c>
      <c r="E67" s="159">
        <v>4587.5700000000652</v>
      </c>
      <c r="F67" s="160">
        <f t="shared" si="0"/>
        <v>1771048.7</v>
      </c>
      <c r="G67" s="160">
        <f t="shared" si="1"/>
        <v>30</v>
      </c>
      <c r="H67" s="160">
        <f t="shared" si="2"/>
        <v>5386.0966856666664</v>
      </c>
      <c r="I67" s="160">
        <f t="shared" si="3"/>
        <v>9973.6666856667325</v>
      </c>
      <c r="J67" s="138"/>
      <c r="L67">
        <v>4587.5700000000652</v>
      </c>
      <c r="M67" t="str">
        <f t="shared" si="5"/>
        <v>4587.57</v>
      </c>
      <c r="N67" s="246">
        <v>-4587.57</v>
      </c>
      <c r="O67">
        <f t="shared" si="6"/>
        <v>4587.57</v>
      </c>
    </row>
    <row r="68" spans="1:15" x14ac:dyDescent="0.25">
      <c r="A68" s="141">
        <f t="shared" si="4"/>
        <v>54</v>
      </c>
      <c r="B68" s="156">
        <v>43070</v>
      </c>
      <c r="C68" s="157">
        <v>43102</v>
      </c>
      <c r="D68" s="158">
        <v>1771048.7</v>
      </c>
      <c r="E68" s="159">
        <v>4789.5300000000279</v>
      </c>
      <c r="F68" s="160">
        <f t="shared" si="0"/>
        <v>1766259.17</v>
      </c>
      <c r="G68" s="160">
        <f t="shared" si="1"/>
        <v>32</v>
      </c>
      <c r="H68" s="160">
        <f t="shared" si="2"/>
        <v>5730.3264604444448</v>
      </c>
      <c r="I68" s="160">
        <f t="shared" si="3"/>
        <v>10519.856460444473</v>
      </c>
      <c r="J68" s="138"/>
      <c r="L68">
        <v>4789.5300000000279</v>
      </c>
      <c r="M68" t="str">
        <f t="shared" si="5"/>
        <v>4789.53</v>
      </c>
      <c r="N68" s="246">
        <v>-4789.53</v>
      </c>
      <c r="O68">
        <f t="shared" si="6"/>
        <v>4789.53</v>
      </c>
    </row>
    <row r="69" spans="1:15" x14ac:dyDescent="0.25">
      <c r="A69" s="141">
        <f t="shared" si="4"/>
        <v>55</v>
      </c>
      <c r="B69" s="156">
        <v>43102</v>
      </c>
      <c r="C69" s="157">
        <v>43132</v>
      </c>
      <c r="D69" s="158">
        <v>1766259.17</v>
      </c>
      <c r="E69" s="159">
        <v>4618.2600000000093</v>
      </c>
      <c r="F69" s="160">
        <f t="shared" si="0"/>
        <v>1761640.91</v>
      </c>
      <c r="G69" s="160">
        <f t="shared" si="1"/>
        <v>30</v>
      </c>
      <c r="H69" s="160">
        <f t="shared" si="2"/>
        <v>5357.6528156666664</v>
      </c>
      <c r="I69" s="160">
        <f t="shared" si="3"/>
        <v>9975.9128156666757</v>
      </c>
      <c r="J69" s="138"/>
    </row>
    <row r="70" spans="1:15" x14ac:dyDescent="0.25">
      <c r="A70" s="141">
        <f t="shared" si="4"/>
        <v>56</v>
      </c>
      <c r="B70" s="156">
        <v>43132</v>
      </c>
      <c r="C70" s="157">
        <v>43160</v>
      </c>
      <c r="D70" s="158">
        <v>1761640.91</v>
      </c>
      <c r="E70" s="159">
        <v>4633.3599999998696</v>
      </c>
      <c r="F70" s="160">
        <f t="shared" si="0"/>
        <v>1757007.55</v>
      </c>
      <c r="G70" s="160">
        <f t="shared" si="1"/>
        <v>28</v>
      </c>
      <c r="H70" s="160">
        <f t="shared" si="2"/>
        <v>4987.4011540888887</v>
      </c>
      <c r="I70" s="160">
        <f t="shared" si="3"/>
        <v>9620.7611540887592</v>
      </c>
      <c r="J70" s="138"/>
    </row>
    <row r="71" spans="1:15" x14ac:dyDescent="0.25">
      <c r="A71" s="141">
        <f t="shared" si="4"/>
        <v>57</v>
      </c>
      <c r="B71" s="156">
        <v>43160</v>
      </c>
      <c r="C71" s="157">
        <v>43193</v>
      </c>
      <c r="D71" s="158">
        <v>1757007.55</v>
      </c>
      <c r="E71" s="159">
        <v>5204.910000000149</v>
      </c>
      <c r="F71" s="160">
        <f t="shared" si="0"/>
        <v>1751802.64</v>
      </c>
      <c r="G71" s="160">
        <f t="shared" si="1"/>
        <v>33</v>
      </c>
      <c r="H71" s="160">
        <f t="shared" si="2"/>
        <v>5862.548525166666</v>
      </c>
      <c r="I71" s="160">
        <f t="shared" si="3"/>
        <v>11067.458525166814</v>
      </c>
      <c r="J71" s="138"/>
    </row>
    <row r="72" spans="1:15" x14ac:dyDescent="0.25">
      <c r="A72" s="141">
        <f t="shared" si="4"/>
        <v>58</v>
      </c>
      <c r="B72" s="156">
        <v>43193</v>
      </c>
      <c r="C72" s="157">
        <v>43221</v>
      </c>
      <c r="D72" s="158">
        <v>1751802.64</v>
      </c>
      <c r="E72" s="159">
        <v>4665.559999999823</v>
      </c>
      <c r="F72" s="160">
        <f t="shared" si="0"/>
        <v>1747137.08</v>
      </c>
      <c r="G72" s="160">
        <f t="shared" si="1"/>
        <v>28</v>
      </c>
      <c r="H72" s="160">
        <f t="shared" si="2"/>
        <v>4959.5479185777776</v>
      </c>
      <c r="I72" s="160">
        <f t="shared" si="3"/>
        <v>9625.1079185775998</v>
      </c>
      <c r="J72" s="138"/>
    </row>
    <row r="73" spans="1:15" x14ac:dyDescent="0.25">
      <c r="A73" s="141">
        <f t="shared" si="4"/>
        <v>59</v>
      </c>
      <c r="B73" s="156">
        <v>43221</v>
      </c>
      <c r="C73" s="157">
        <v>43252</v>
      </c>
      <c r="D73" s="158">
        <v>1747137.08</v>
      </c>
      <c r="E73" s="159">
        <v>4865.25</v>
      </c>
      <c r="F73" s="160">
        <f t="shared" si="0"/>
        <v>1742271.83</v>
      </c>
      <c r="G73" s="160">
        <f t="shared" si="1"/>
        <v>31</v>
      </c>
      <c r="H73" s="160">
        <f t="shared" si="2"/>
        <v>5476.304114088889</v>
      </c>
      <c r="I73" s="160">
        <f t="shared" si="3"/>
        <v>10341.554114088889</v>
      </c>
      <c r="J73" s="138"/>
    </row>
    <row r="74" spans="1:15" x14ac:dyDescent="0.25">
      <c r="A74" s="141">
        <f t="shared" si="4"/>
        <v>60</v>
      </c>
      <c r="B74" s="156">
        <v>43252</v>
      </c>
      <c r="C74" s="157">
        <v>43283</v>
      </c>
      <c r="D74" s="158">
        <v>1742271.83</v>
      </c>
      <c r="E74" s="159">
        <v>4696.75</v>
      </c>
      <c r="F74" s="160">
        <f t="shared" si="0"/>
        <v>1737575.08</v>
      </c>
      <c r="G74" s="160">
        <f t="shared" si="1"/>
        <v>31</v>
      </c>
      <c r="H74" s="160">
        <f t="shared" si="2"/>
        <v>5461.0542582555563</v>
      </c>
      <c r="I74" s="160">
        <f t="shared" si="3"/>
        <v>10157.804258255557</v>
      </c>
      <c r="J74" s="138"/>
    </row>
    <row r="75" spans="1:15" x14ac:dyDescent="0.25">
      <c r="A75" s="141">
        <f t="shared" si="4"/>
        <v>61</v>
      </c>
      <c r="B75" s="156">
        <v>43283</v>
      </c>
      <c r="C75" s="157">
        <v>43313</v>
      </c>
      <c r="D75" s="158">
        <v>1737575.08</v>
      </c>
      <c r="E75" s="159">
        <v>4895.5200000000186</v>
      </c>
      <c r="F75" s="160">
        <f t="shared" si="0"/>
        <v>1732679.56</v>
      </c>
      <c r="G75" s="160">
        <f t="shared" si="1"/>
        <v>30</v>
      </c>
      <c r="H75" s="160">
        <f t="shared" si="2"/>
        <v>5270.6444093333339</v>
      </c>
      <c r="I75" s="160">
        <f t="shared" si="3"/>
        <v>10166.164409333353</v>
      </c>
    </row>
    <row r="76" spans="1:15" x14ac:dyDescent="0.25">
      <c r="A76" s="141">
        <f t="shared" si="4"/>
        <v>62</v>
      </c>
      <c r="B76" s="156">
        <v>43313</v>
      </c>
      <c r="C76" s="157">
        <v>43347</v>
      </c>
      <c r="D76" s="158">
        <v>1732679.56</v>
      </c>
      <c r="E76" s="159">
        <v>4728.1400000001304</v>
      </c>
      <c r="F76" s="160">
        <f t="shared" si="0"/>
        <v>1727951.42</v>
      </c>
      <c r="G76" s="160">
        <f t="shared" si="1"/>
        <v>34</v>
      </c>
      <c r="H76" s="160">
        <f t="shared" si="2"/>
        <v>5956.5672873777776</v>
      </c>
      <c r="I76" s="160">
        <f t="shared" si="3"/>
        <v>10684.707287377907</v>
      </c>
    </row>
    <row r="77" spans="1:15" x14ac:dyDescent="0.25">
      <c r="A77" s="141">
        <f t="shared" si="4"/>
        <v>63</v>
      </c>
      <c r="B77" s="156">
        <v>43347</v>
      </c>
      <c r="C77" s="157">
        <v>43374</v>
      </c>
      <c r="D77" s="158">
        <v>1727951.42</v>
      </c>
      <c r="E77" s="159">
        <v>4743.5999999998603</v>
      </c>
      <c r="F77" s="160">
        <f t="shared" si="0"/>
        <v>1723207.82</v>
      </c>
      <c r="G77" s="160">
        <f t="shared" si="1"/>
        <v>27</v>
      </c>
      <c r="H77" s="160">
        <f t="shared" si="2"/>
        <v>4717.3073765999998</v>
      </c>
      <c r="I77" s="160">
        <f t="shared" si="3"/>
        <v>9460.9073765998601</v>
      </c>
    </row>
    <row r="78" spans="1:15" x14ac:dyDescent="0.25">
      <c r="A78" s="141">
        <f t="shared" si="4"/>
        <v>64</v>
      </c>
      <c r="B78" s="156">
        <v>43374</v>
      </c>
      <c r="C78" s="157">
        <v>43405</v>
      </c>
      <c r="D78" s="158">
        <v>1723207.82</v>
      </c>
      <c r="E78" s="159">
        <v>4941.0300000000279</v>
      </c>
      <c r="F78" s="160">
        <f t="shared" si="0"/>
        <v>1718266.79</v>
      </c>
      <c r="G78" s="160">
        <f t="shared" si="1"/>
        <v>31</v>
      </c>
      <c r="H78" s="160">
        <f t="shared" si="2"/>
        <v>5401.2991780222228</v>
      </c>
      <c r="I78" s="160">
        <f t="shared" si="3"/>
        <v>10342.32917802225</v>
      </c>
    </row>
    <row r="79" spans="1:15" x14ac:dyDescent="0.25">
      <c r="A79" s="141">
        <f t="shared" si="4"/>
        <v>65</v>
      </c>
      <c r="B79" s="156">
        <v>43405</v>
      </c>
      <c r="C79" s="157">
        <v>43437</v>
      </c>
      <c r="D79" s="158">
        <v>1718266.79</v>
      </c>
      <c r="E79" s="159">
        <v>4775.2900000000373</v>
      </c>
      <c r="F79" s="160">
        <f t="shared" ref="F79:F98" si="7">D79-E79</f>
        <v>1713491.5</v>
      </c>
      <c r="G79" s="160">
        <f t="shared" ref="G79:G98" si="8">C79-B79</f>
        <v>32</v>
      </c>
      <c r="H79" s="160">
        <f t="shared" ref="H79:H98" si="9">(D79*$C$12)*((C79-B79)/360)</f>
        <v>5559.5476583111113</v>
      </c>
      <c r="I79" s="160">
        <f t="shared" ref="I79:I98" si="10">H79+E79</f>
        <v>10334.837658311149</v>
      </c>
    </row>
    <row r="80" spans="1:15" x14ac:dyDescent="0.25">
      <c r="A80" s="141">
        <f t="shared" si="4"/>
        <v>66</v>
      </c>
      <c r="B80" s="156">
        <v>43437</v>
      </c>
      <c r="C80" s="157">
        <v>43467</v>
      </c>
      <c r="D80" s="158">
        <v>1713491.5</v>
      </c>
      <c r="E80" s="159">
        <v>4971.7900000000373</v>
      </c>
      <c r="F80" s="160">
        <f t="shared" si="7"/>
        <v>1708519.71</v>
      </c>
      <c r="G80" s="160">
        <f t="shared" si="8"/>
        <v>30</v>
      </c>
      <c r="H80" s="160">
        <f t="shared" si="9"/>
        <v>5197.5908833333333</v>
      </c>
      <c r="I80" s="160">
        <f t="shared" si="10"/>
        <v>10169.380883333371</v>
      </c>
    </row>
    <row r="81" spans="1:9" x14ac:dyDescent="0.25">
      <c r="A81" s="141">
        <f t="shared" si="4"/>
        <v>67</v>
      </c>
      <c r="B81" s="156">
        <v>43467</v>
      </c>
      <c r="C81" s="157">
        <v>43497</v>
      </c>
      <c r="D81" s="158">
        <v>1708519.71</v>
      </c>
      <c r="E81" s="159">
        <v>4807.1899999999441</v>
      </c>
      <c r="F81" s="160">
        <f t="shared" si="7"/>
        <v>1703712.52</v>
      </c>
      <c r="G81" s="160">
        <f t="shared" si="8"/>
        <v>30</v>
      </c>
      <c r="H81" s="160">
        <f t="shared" si="9"/>
        <v>5182.509787</v>
      </c>
      <c r="I81" s="160">
        <f t="shared" si="10"/>
        <v>9989.6997869999432</v>
      </c>
    </row>
    <row r="82" spans="1:9" x14ac:dyDescent="0.25">
      <c r="A82" s="141">
        <f t="shared" si="4"/>
        <v>68</v>
      </c>
      <c r="B82" s="156">
        <v>43497</v>
      </c>
      <c r="C82" s="157">
        <v>43525</v>
      </c>
      <c r="D82" s="158">
        <v>1703712.52</v>
      </c>
      <c r="E82" s="159">
        <v>4822.9199999999255</v>
      </c>
      <c r="F82" s="160">
        <f t="shared" si="7"/>
        <v>1698889.6</v>
      </c>
      <c r="G82" s="160">
        <f t="shared" si="8"/>
        <v>28</v>
      </c>
      <c r="H82" s="160">
        <f t="shared" si="9"/>
        <v>4823.3994455111115</v>
      </c>
      <c r="I82" s="160">
        <f t="shared" si="10"/>
        <v>9646.319445511037</v>
      </c>
    </row>
    <row r="83" spans="1:9" x14ac:dyDescent="0.25">
      <c r="A83" s="141">
        <f t="shared" si="4"/>
        <v>69</v>
      </c>
      <c r="B83" s="156">
        <v>43525</v>
      </c>
      <c r="C83" s="157">
        <v>43556</v>
      </c>
      <c r="D83" s="158">
        <v>1698889.6</v>
      </c>
      <c r="E83" s="159">
        <v>5376.690000000177</v>
      </c>
      <c r="F83" s="160">
        <f t="shared" si="7"/>
        <v>1693512.91</v>
      </c>
      <c r="G83" s="160">
        <f t="shared" si="8"/>
        <v>31</v>
      </c>
      <c r="H83" s="160">
        <f t="shared" si="9"/>
        <v>5325.0750684444456</v>
      </c>
      <c r="I83" s="160">
        <f t="shared" si="10"/>
        <v>10701.765068444623</v>
      </c>
    </row>
    <row r="84" spans="1:9" x14ac:dyDescent="0.25">
      <c r="A84" s="141">
        <f t="shared" si="4"/>
        <v>70</v>
      </c>
      <c r="B84" s="156">
        <v>43556</v>
      </c>
      <c r="C84" s="157">
        <v>43586</v>
      </c>
      <c r="D84" s="158">
        <v>1693512.91</v>
      </c>
      <c r="E84" s="159">
        <v>4856.2899999998044</v>
      </c>
      <c r="F84" s="160">
        <f t="shared" si="7"/>
        <v>1688656.62</v>
      </c>
      <c r="G84" s="160">
        <f t="shared" si="8"/>
        <v>30</v>
      </c>
      <c r="H84" s="160">
        <f t="shared" si="9"/>
        <v>5136.9891603333326</v>
      </c>
      <c r="I84" s="160">
        <f t="shared" si="10"/>
        <v>9993.279160333137</v>
      </c>
    </row>
    <row r="85" spans="1:9" x14ac:dyDescent="0.25">
      <c r="A85" s="141">
        <f t="shared" si="4"/>
        <v>71</v>
      </c>
      <c r="B85" s="156">
        <v>43586</v>
      </c>
      <c r="C85" s="157">
        <v>43619</v>
      </c>
      <c r="D85" s="158">
        <v>1688656.62</v>
      </c>
      <c r="E85" s="159">
        <v>5050.440000000177</v>
      </c>
      <c r="F85" s="160">
        <f t="shared" si="7"/>
        <v>1683606.18</v>
      </c>
      <c r="G85" s="160">
        <f t="shared" si="8"/>
        <v>33</v>
      </c>
      <c r="H85" s="160">
        <f t="shared" si="9"/>
        <v>5634.4842553999997</v>
      </c>
      <c r="I85" s="160">
        <f t="shared" si="10"/>
        <v>10684.924255400176</v>
      </c>
    </row>
    <row r="86" spans="1:9" x14ac:dyDescent="0.25">
      <c r="A86" s="141">
        <f t="shared" si="4"/>
        <v>72</v>
      </c>
      <c r="B86" s="156">
        <v>43619</v>
      </c>
      <c r="C86" s="157">
        <v>43647</v>
      </c>
      <c r="D86" s="158">
        <v>1683606.18</v>
      </c>
      <c r="E86" s="159">
        <v>4888.7099999999627</v>
      </c>
      <c r="F86" s="160">
        <f t="shared" si="7"/>
        <v>1678717.47</v>
      </c>
      <c r="G86" s="160">
        <f t="shared" si="8"/>
        <v>28</v>
      </c>
      <c r="H86" s="160">
        <f t="shared" si="9"/>
        <v>4766.4761629333334</v>
      </c>
      <c r="I86" s="160">
        <f t="shared" si="10"/>
        <v>9655.1861629332961</v>
      </c>
    </row>
    <row r="87" spans="1:9" x14ac:dyDescent="0.25">
      <c r="A87" s="141">
        <f t="shared" si="4"/>
        <v>73</v>
      </c>
      <c r="B87" s="156">
        <v>43647</v>
      </c>
      <c r="C87" s="157">
        <v>43678</v>
      </c>
      <c r="D87" s="158">
        <v>1678717.47</v>
      </c>
      <c r="E87" s="159">
        <v>5081.9099999999162</v>
      </c>
      <c r="F87" s="160">
        <f t="shared" si="7"/>
        <v>1673635.56</v>
      </c>
      <c r="G87" s="160">
        <f t="shared" si="8"/>
        <v>31</v>
      </c>
      <c r="H87" s="160">
        <f t="shared" si="9"/>
        <v>5261.8466476333333</v>
      </c>
      <c r="I87" s="160">
        <f t="shared" si="10"/>
        <v>10343.75664763325</v>
      </c>
    </row>
    <row r="88" spans="1:9" x14ac:dyDescent="0.25">
      <c r="A88" s="141">
        <f t="shared" si="4"/>
        <v>74</v>
      </c>
      <c r="B88" s="156">
        <v>43678</v>
      </c>
      <c r="C88" s="157">
        <v>43711</v>
      </c>
      <c r="D88" s="158">
        <v>1673635.56</v>
      </c>
      <c r="E88" s="159">
        <v>4921.3400000000838</v>
      </c>
      <c r="F88" s="160">
        <f t="shared" si="7"/>
        <v>1668714.22</v>
      </c>
      <c r="G88" s="160">
        <f t="shared" si="8"/>
        <v>33</v>
      </c>
      <c r="H88" s="160">
        <f t="shared" si="9"/>
        <v>5584.3639851999997</v>
      </c>
      <c r="I88" s="160">
        <f t="shared" si="10"/>
        <v>10505.703985200083</v>
      </c>
    </row>
    <row r="89" spans="1:9" x14ac:dyDescent="0.25">
      <c r="A89" s="141">
        <f t="shared" si="4"/>
        <v>75</v>
      </c>
      <c r="B89" s="156">
        <v>43711</v>
      </c>
      <c r="C89" s="157">
        <v>43739</v>
      </c>
      <c r="D89" s="158">
        <v>1668714.22</v>
      </c>
      <c r="E89" s="159">
        <v>4937.4399999999441</v>
      </c>
      <c r="F89" s="160">
        <f t="shared" si="7"/>
        <v>1663776.78</v>
      </c>
      <c r="G89" s="160">
        <f t="shared" si="8"/>
        <v>28</v>
      </c>
      <c r="H89" s="160">
        <f t="shared" si="9"/>
        <v>4724.3153695111114</v>
      </c>
      <c r="I89" s="160">
        <f t="shared" si="10"/>
        <v>9661.7553695110546</v>
      </c>
    </row>
    <row r="90" spans="1:9" x14ac:dyDescent="0.25">
      <c r="A90" s="141">
        <f t="shared" si="4"/>
        <v>76</v>
      </c>
      <c r="B90" s="156">
        <v>43739</v>
      </c>
      <c r="C90" s="157">
        <v>43770</v>
      </c>
      <c r="D90" s="158">
        <v>1663776.78</v>
      </c>
      <c r="E90" s="159">
        <v>5129.2199999999721</v>
      </c>
      <c r="F90" s="160">
        <f t="shared" si="7"/>
        <v>1658647.56</v>
      </c>
      <c r="G90" s="160">
        <f t="shared" si="8"/>
        <v>31</v>
      </c>
      <c r="H90" s="160">
        <f t="shared" si="9"/>
        <v>5215.015884866667</v>
      </c>
      <c r="I90" s="160">
        <f t="shared" si="10"/>
        <v>10344.235884866639</v>
      </c>
    </row>
    <row r="91" spans="1:9" x14ac:dyDescent="0.25">
      <c r="A91" s="141">
        <f t="shared" si="4"/>
        <v>77</v>
      </c>
      <c r="B91" s="156">
        <v>43770</v>
      </c>
      <c r="C91" s="157">
        <v>43801</v>
      </c>
      <c r="D91" s="158">
        <v>1658647.56</v>
      </c>
      <c r="E91" s="159">
        <v>4970.3900000001304</v>
      </c>
      <c r="F91" s="160">
        <f t="shared" si="7"/>
        <v>1653677.17</v>
      </c>
      <c r="G91" s="160">
        <f t="shared" si="8"/>
        <v>31</v>
      </c>
      <c r="H91" s="160">
        <f t="shared" si="9"/>
        <v>5198.938629733334</v>
      </c>
      <c r="I91" s="160">
        <f t="shared" si="10"/>
        <v>10169.328629733463</v>
      </c>
    </row>
    <row r="92" spans="1:9" x14ac:dyDescent="0.25">
      <c r="A92" s="141">
        <f t="shared" si="4"/>
        <v>78</v>
      </c>
      <c r="B92" s="156">
        <v>43801</v>
      </c>
      <c r="C92" s="157">
        <v>43832</v>
      </c>
      <c r="D92" s="158">
        <v>1653677.17</v>
      </c>
      <c r="E92" s="159">
        <v>5161.1999999999534</v>
      </c>
      <c r="F92" s="160">
        <f t="shared" si="7"/>
        <v>1648515.97</v>
      </c>
      <c r="G92" s="160">
        <f t="shared" si="8"/>
        <v>31</v>
      </c>
      <c r="H92" s="160">
        <f t="shared" si="9"/>
        <v>5183.3592184111112</v>
      </c>
      <c r="I92" s="160">
        <f t="shared" si="10"/>
        <v>10344.559218411065</v>
      </c>
    </row>
    <row r="93" spans="1:9" x14ac:dyDescent="0.25">
      <c r="A93" s="141">
        <f t="shared" si="4"/>
        <v>79</v>
      </c>
      <c r="B93" s="156">
        <v>43832</v>
      </c>
      <c r="C93" s="157">
        <v>43864</v>
      </c>
      <c r="D93" s="158">
        <v>1648515.97</v>
      </c>
      <c r="E93" s="159">
        <v>5003.5400000000373</v>
      </c>
      <c r="F93" s="160">
        <f t="shared" si="7"/>
        <v>1643512.43</v>
      </c>
      <c r="G93" s="160">
        <f t="shared" si="8"/>
        <v>32</v>
      </c>
      <c r="H93" s="160">
        <f t="shared" si="9"/>
        <v>5333.865005155556</v>
      </c>
      <c r="I93" s="160">
        <f t="shared" si="10"/>
        <v>10337.405005155593</v>
      </c>
    </row>
    <row r="94" spans="1:9" x14ac:dyDescent="0.25">
      <c r="A94" s="141">
        <f t="shared" si="4"/>
        <v>80</v>
      </c>
      <c r="B94" s="156">
        <v>43864</v>
      </c>
      <c r="C94" s="157">
        <v>43892</v>
      </c>
      <c r="D94" s="158">
        <v>1643512.43</v>
      </c>
      <c r="E94" s="159">
        <v>5019.8999999999069</v>
      </c>
      <c r="F94" s="160">
        <f t="shared" si="7"/>
        <v>1638492.53</v>
      </c>
      <c r="G94" s="160">
        <f t="shared" si="8"/>
        <v>28</v>
      </c>
      <c r="H94" s="160">
        <f t="shared" si="9"/>
        <v>4652.9663018222218</v>
      </c>
      <c r="I94" s="160">
        <f t="shared" si="10"/>
        <v>9672.8663018221287</v>
      </c>
    </row>
    <row r="95" spans="1:9" x14ac:dyDescent="0.25">
      <c r="A95" s="141">
        <f t="shared" si="4"/>
        <v>81</v>
      </c>
      <c r="B95" s="156">
        <v>43892</v>
      </c>
      <c r="C95" s="157">
        <v>43922</v>
      </c>
      <c r="D95" s="158">
        <v>1638492.53</v>
      </c>
      <c r="E95" s="159">
        <v>5382.2399999999907</v>
      </c>
      <c r="F95" s="160">
        <f t="shared" si="7"/>
        <v>1633110.29</v>
      </c>
      <c r="G95" s="160">
        <f t="shared" si="8"/>
        <v>30</v>
      </c>
      <c r="H95" s="160">
        <f t="shared" si="9"/>
        <v>4970.0940076666666</v>
      </c>
      <c r="I95" s="160">
        <f t="shared" si="10"/>
        <v>10352.334007666657</v>
      </c>
    </row>
    <row r="96" spans="1:9" x14ac:dyDescent="0.25">
      <c r="A96" s="141">
        <f t="shared" si="4"/>
        <v>82</v>
      </c>
      <c r="B96" s="156">
        <v>43922</v>
      </c>
      <c r="C96" s="157">
        <v>43952</v>
      </c>
      <c r="D96" s="158">
        <v>1633110.29</v>
      </c>
      <c r="E96" s="159">
        <v>5053.9499999999534</v>
      </c>
      <c r="F96" s="160">
        <f t="shared" si="7"/>
        <v>1628056.34</v>
      </c>
      <c r="G96" s="160">
        <f t="shared" si="8"/>
        <v>30</v>
      </c>
      <c r="H96" s="160">
        <f t="shared" si="9"/>
        <v>4953.7678796666669</v>
      </c>
      <c r="I96" s="160">
        <f t="shared" si="10"/>
        <v>10007.717879666619</v>
      </c>
    </row>
    <row r="97" spans="1:9" x14ac:dyDescent="0.25">
      <c r="A97" s="141">
        <f t="shared" si="4"/>
        <v>83</v>
      </c>
      <c r="B97" s="156">
        <v>43952</v>
      </c>
      <c r="C97" s="157">
        <v>43983</v>
      </c>
      <c r="D97" s="158">
        <v>1628056.34</v>
      </c>
      <c r="E97" s="159">
        <v>5242.3400000000838</v>
      </c>
      <c r="F97" s="160">
        <f t="shared" si="7"/>
        <v>1622814</v>
      </c>
      <c r="G97" s="160">
        <f t="shared" si="8"/>
        <v>31</v>
      </c>
      <c r="H97" s="160">
        <f t="shared" si="9"/>
        <v>5103.0521501555559</v>
      </c>
      <c r="I97" s="160">
        <f t="shared" si="10"/>
        <v>10345.39215015564</v>
      </c>
    </row>
    <row r="98" spans="1:9" x14ac:dyDescent="0.25">
      <c r="A98" s="141">
        <f t="shared" si="4"/>
        <v>84</v>
      </c>
      <c r="B98" s="156">
        <v>43983</v>
      </c>
      <c r="C98" s="157">
        <v>44013</v>
      </c>
      <c r="D98" s="158">
        <v>1622814</v>
      </c>
      <c r="E98" s="159">
        <v>1622814</v>
      </c>
      <c r="F98" s="160">
        <f t="shared" si="7"/>
        <v>0</v>
      </c>
      <c r="G98" s="160">
        <f t="shared" si="8"/>
        <v>30</v>
      </c>
      <c r="H98" s="160">
        <f t="shared" si="9"/>
        <v>4922.5357999999997</v>
      </c>
      <c r="I98" s="160">
        <f t="shared" si="10"/>
        <v>1627736.5358</v>
      </c>
    </row>
    <row r="99" spans="1:9" x14ac:dyDescent="0.25">
      <c r="A99" s="141"/>
      <c r="B99" s="156"/>
      <c r="C99" s="157"/>
      <c r="D99" s="158"/>
      <c r="E99" s="159"/>
      <c r="F99" s="160"/>
      <c r="G99" s="160"/>
      <c r="H99" s="160"/>
      <c r="I99" s="160"/>
    </row>
    <row r="100" spans="1:9" x14ac:dyDescent="0.25">
      <c r="A100" s="141"/>
      <c r="B100" s="156"/>
      <c r="C100" s="157"/>
      <c r="D100" s="158"/>
      <c r="E100" s="159"/>
      <c r="F100" s="160"/>
      <c r="G100" s="160"/>
      <c r="H100" s="160"/>
      <c r="I100" s="160"/>
    </row>
    <row r="101" spans="1:9" x14ac:dyDescent="0.25">
      <c r="A101" s="141"/>
      <c r="B101" s="156"/>
      <c r="C101" s="157"/>
      <c r="D101" s="158"/>
      <c r="E101" s="159"/>
      <c r="F101" s="160"/>
      <c r="G101" s="160"/>
      <c r="H101" s="160"/>
      <c r="I101" s="160"/>
    </row>
    <row r="102" spans="1:9" x14ac:dyDescent="0.25">
      <c r="A102" s="141"/>
      <c r="B102" s="156"/>
      <c r="C102" s="157"/>
      <c r="D102" s="158"/>
      <c r="E102" s="159"/>
      <c r="F102" s="160"/>
      <c r="G102" s="160"/>
      <c r="H102" s="160"/>
      <c r="I102" s="160"/>
    </row>
    <row r="103" spans="1:9" x14ac:dyDescent="0.25">
      <c r="A103" s="141"/>
      <c r="B103" s="156"/>
      <c r="C103" s="157"/>
      <c r="D103" s="158"/>
      <c r="E103" s="159"/>
      <c r="F103" s="160"/>
      <c r="G103" s="160"/>
      <c r="H103" s="160"/>
      <c r="I103" s="160"/>
    </row>
    <row r="104" spans="1:9" x14ac:dyDescent="0.25">
      <c r="A104" s="141"/>
      <c r="B104" s="156"/>
      <c r="C104" s="157"/>
      <c r="D104" s="158"/>
      <c r="E104" s="159"/>
      <c r="F104" s="160"/>
      <c r="G104" s="160"/>
      <c r="H104" s="160"/>
      <c r="I104" s="160"/>
    </row>
    <row r="105" spans="1:9" x14ac:dyDescent="0.25">
      <c r="A105" s="141"/>
      <c r="B105" s="156"/>
      <c r="C105" s="157"/>
      <c r="D105" s="158"/>
      <c r="E105" s="159"/>
      <c r="F105" s="160"/>
      <c r="G105" s="160"/>
      <c r="H105" s="160"/>
      <c r="I105" s="160"/>
    </row>
    <row r="106" spans="1:9" x14ac:dyDescent="0.25">
      <c r="A106" s="141"/>
      <c r="B106" s="156"/>
      <c r="C106" s="157"/>
      <c r="D106" s="158"/>
      <c r="E106" s="159"/>
      <c r="F106" s="160"/>
      <c r="G106" s="160"/>
      <c r="H106" s="160"/>
      <c r="I106" s="160"/>
    </row>
    <row r="107" spans="1:9" x14ac:dyDescent="0.25">
      <c r="A107" s="141"/>
      <c r="B107" s="156"/>
      <c r="C107" s="157"/>
      <c r="D107" s="158"/>
      <c r="E107" s="159"/>
      <c r="F107" s="160"/>
      <c r="G107" s="160"/>
      <c r="H107" s="160"/>
      <c r="I107" s="160"/>
    </row>
    <row r="108" spans="1:9" x14ac:dyDescent="0.25">
      <c r="A108" s="141"/>
      <c r="B108" s="156"/>
      <c r="C108" s="157"/>
      <c r="D108" s="158"/>
      <c r="E108" s="159"/>
      <c r="F108" s="160"/>
      <c r="G108" s="160"/>
      <c r="H108" s="160"/>
      <c r="I108" s="160"/>
    </row>
    <row r="109" spans="1:9" x14ac:dyDescent="0.25">
      <c r="A109" s="141"/>
      <c r="B109" s="156"/>
      <c r="C109" s="157"/>
      <c r="D109" s="158"/>
      <c r="E109" s="159"/>
      <c r="F109" s="160"/>
      <c r="G109" s="160"/>
      <c r="H109" s="160"/>
      <c r="I109" s="160"/>
    </row>
    <row r="110" spans="1:9" x14ac:dyDescent="0.25">
      <c r="A110" s="141"/>
      <c r="B110" s="156"/>
      <c r="C110" s="157"/>
      <c r="D110" s="158"/>
      <c r="E110" s="159"/>
      <c r="F110" s="160"/>
      <c r="G110" s="160"/>
      <c r="H110" s="160"/>
      <c r="I110" s="160"/>
    </row>
    <row r="111" spans="1:9" x14ac:dyDescent="0.25">
      <c r="A111" s="141"/>
      <c r="B111" s="156"/>
      <c r="C111" s="157"/>
      <c r="D111" s="158"/>
      <c r="E111" s="159"/>
      <c r="F111" s="160"/>
      <c r="G111" s="160"/>
      <c r="H111" s="160"/>
      <c r="I111" s="160"/>
    </row>
    <row r="112" spans="1:9" x14ac:dyDescent="0.25">
      <c r="A112" s="141"/>
      <c r="B112" s="156"/>
      <c r="C112" s="157"/>
      <c r="D112" s="158"/>
      <c r="E112" s="159"/>
      <c r="F112" s="160"/>
      <c r="G112" s="160"/>
      <c r="H112" s="160"/>
      <c r="I112" s="160"/>
    </row>
    <row r="113" spans="1:9" x14ac:dyDescent="0.25">
      <c r="A113" s="141"/>
      <c r="B113" s="156"/>
      <c r="C113" s="157"/>
      <c r="D113" s="158"/>
      <c r="E113" s="159"/>
      <c r="F113" s="160"/>
      <c r="G113" s="160"/>
      <c r="H113" s="160"/>
      <c r="I113" s="160"/>
    </row>
    <row r="114" spans="1:9" x14ac:dyDescent="0.25">
      <c r="A114" s="141"/>
      <c r="B114" s="156"/>
      <c r="C114" s="157"/>
      <c r="D114" s="158"/>
      <c r="E114" s="159"/>
      <c r="F114" s="160"/>
      <c r="G114" s="160"/>
      <c r="H114" s="160"/>
      <c r="I114" s="160"/>
    </row>
    <row r="115" spans="1:9" x14ac:dyDescent="0.25">
      <c r="A115" s="141"/>
      <c r="B115" s="156"/>
      <c r="C115" s="157"/>
      <c r="D115" s="158"/>
      <c r="E115" s="159"/>
      <c r="F115" s="160"/>
      <c r="G115" s="160"/>
      <c r="H115" s="160"/>
      <c r="I115" s="160"/>
    </row>
    <row r="116" spans="1:9" x14ac:dyDescent="0.25">
      <c r="A116" s="141"/>
      <c r="B116" s="156"/>
      <c r="C116" s="157"/>
      <c r="D116" s="158"/>
      <c r="E116" s="159"/>
      <c r="F116" s="160"/>
      <c r="G116" s="160"/>
      <c r="H116" s="160"/>
      <c r="I116" s="160"/>
    </row>
    <row r="117" spans="1:9" x14ac:dyDescent="0.25">
      <c r="A117" s="141"/>
      <c r="B117" s="156"/>
      <c r="C117" s="157"/>
      <c r="D117" s="158"/>
      <c r="E117" s="159"/>
      <c r="F117" s="160"/>
      <c r="G117" s="160"/>
      <c r="H117" s="160"/>
      <c r="I117" s="160"/>
    </row>
    <row r="118" spans="1:9" x14ac:dyDescent="0.25">
      <c r="A118" s="141"/>
      <c r="B118" s="156"/>
      <c r="C118" s="157"/>
      <c r="D118" s="158"/>
      <c r="E118" s="159"/>
      <c r="F118" s="160"/>
      <c r="G118" s="160"/>
      <c r="H118" s="160"/>
      <c r="I118" s="160"/>
    </row>
    <row r="119" spans="1:9" x14ac:dyDescent="0.25">
      <c r="A119" s="141"/>
      <c r="B119" s="156"/>
      <c r="C119" s="157"/>
      <c r="D119" s="158"/>
      <c r="E119" s="159"/>
      <c r="F119" s="160"/>
      <c r="G119" s="160"/>
      <c r="H119" s="160"/>
      <c r="I119" s="160"/>
    </row>
    <row r="120" spans="1:9" x14ac:dyDescent="0.25">
      <c r="A120" s="141"/>
      <c r="B120" s="156"/>
      <c r="C120" s="157"/>
      <c r="D120" s="158"/>
      <c r="E120" s="159"/>
      <c r="F120" s="160"/>
      <c r="G120" s="160"/>
      <c r="H120" s="160"/>
      <c r="I120" s="160"/>
    </row>
    <row r="121" spans="1:9" x14ac:dyDescent="0.25">
      <c r="A121" s="141"/>
      <c r="B121" s="156"/>
      <c r="C121" s="157"/>
      <c r="D121" s="158"/>
      <c r="E121" s="159"/>
      <c r="F121" s="160"/>
      <c r="G121" s="160"/>
      <c r="H121" s="160"/>
      <c r="I121" s="160"/>
    </row>
    <row r="122" spans="1:9" x14ac:dyDescent="0.25">
      <c r="A122" s="141"/>
      <c r="B122" s="156"/>
      <c r="C122" s="157"/>
      <c r="D122" s="158"/>
      <c r="E122" s="159"/>
      <c r="F122" s="160"/>
      <c r="G122" s="160"/>
      <c r="H122" s="160"/>
      <c r="I122" s="160"/>
    </row>
    <row r="123" spans="1:9" x14ac:dyDescent="0.25">
      <c r="A123" s="141"/>
      <c r="B123" s="156"/>
      <c r="C123" s="157"/>
      <c r="D123" s="158"/>
      <c r="E123" s="159"/>
      <c r="F123" s="160"/>
      <c r="G123" s="160"/>
      <c r="H123" s="160"/>
      <c r="I123" s="160"/>
    </row>
    <row r="124" spans="1:9" x14ac:dyDescent="0.25">
      <c r="A124" s="141"/>
      <c r="B124" s="156"/>
      <c r="C124" s="157"/>
      <c r="D124" s="158"/>
      <c r="E124" s="159"/>
      <c r="F124" s="160"/>
      <c r="G124" s="160"/>
      <c r="H124" s="160"/>
      <c r="I124" s="160"/>
    </row>
    <row r="125" spans="1:9" x14ac:dyDescent="0.25">
      <c r="A125" s="141"/>
      <c r="B125" s="156"/>
      <c r="C125" s="157"/>
      <c r="D125" s="158"/>
      <c r="E125" s="159"/>
      <c r="F125" s="160"/>
      <c r="G125" s="160"/>
      <c r="H125" s="160"/>
      <c r="I125" s="160"/>
    </row>
    <row r="126" spans="1:9" x14ac:dyDescent="0.25">
      <c r="A126" s="141"/>
      <c r="B126" s="156"/>
      <c r="C126" s="157"/>
      <c r="D126" s="158"/>
      <c r="E126" s="159"/>
      <c r="F126" s="160"/>
      <c r="G126" s="160"/>
      <c r="H126" s="160"/>
      <c r="I126" s="160"/>
    </row>
    <row r="127" spans="1:9" x14ac:dyDescent="0.25">
      <c r="A127" s="141"/>
      <c r="B127" s="156"/>
      <c r="C127" s="157"/>
      <c r="D127" s="158"/>
      <c r="E127" s="159"/>
      <c r="F127" s="160"/>
      <c r="G127" s="160"/>
      <c r="H127" s="160"/>
      <c r="I127" s="160"/>
    </row>
    <row r="128" spans="1:9" x14ac:dyDescent="0.25">
      <c r="A128" s="141"/>
      <c r="B128" s="156"/>
      <c r="C128" s="157"/>
      <c r="D128" s="158"/>
      <c r="E128" s="159"/>
      <c r="F128" s="160"/>
      <c r="G128" s="160"/>
      <c r="H128" s="160"/>
      <c r="I128" s="160"/>
    </row>
    <row r="129" spans="1:9" x14ac:dyDescent="0.25">
      <c r="A129" s="141"/>
      <c r="B129" s="156"/>
      <c r="C129" s="157"/>
      <c r="D129" s="158"/>
      <c r="E129" s="159"/>
      <c r="F129" s="160"/>
      <c r="G129" s="160"/>
      <c r="H129" s="160"/>
      <c r="I129" s="160"/>
    </row>
    <row r="130" spans="1:9" x14ac:dyDescent="0.25">
      <c r="A130" s="141"/>
      <c r="B130" s="156"/>
      <c r="C130" s="157"/>
      <c r="D130" s="158"/>
      <c r="E130" s="159"/>
      <c r="F130" s="160"/>
      <c r="G130" s="160"/>
      <c r="H130" s="160"/>
      <c r="I130" s="160"/>
    </row>
    <row r="131" spans="1:9" x14ac:dyDescent="0.25">
      <c r="A131" s="141"/>
      <c r="B131" s="156"/>
      <c r="C131" s="157"/>
      <c r="D131" s="158"/>
      <c r="E131" s="159"/>
      <c r="F131" s="160"/>
      <c r="G131" s="160"/>
      <c r="H131" s="160"/>
      <c r="I131" s="160"/>
    </row>
    <row r="132" spans="1:9" x14ac:dyDescent="0.25">
      <c r="A132" s="141"/>
      <c r="B132" s="156"/>
      <c r="C132" s="157"/>
      <c r="D132" s="158"/>
      <c r="E132" s="159"/>
      <c r="F132" s="160"/>
      <c r="G132" s="160"/>
      <c r="H132" s="160"/>
      <c r="I132" s="160"/>
    </row>
    <row r="133" spans="1:9" x14ac:dyDescent="0.25">
      <c r="A133" s="141"/>
      <c r="B133" s="156"/>
      <c r="C133" s="157"/>
      <c r="D133" s="158"/>
      <c r="E133" s="159"/>
      <c r="F133" s="160"/>
      <c r="G133" s="160"/>
      <c r="H133" s="160"/>
      <c r="I133" s="160"/>
    </row>
    <row r="134" spans="1:9" x14ac:dyDescent="0.25">
      <c r="A134" s="141"/>
      <c r="B134" s="156"/>
      <c r="C134" s="157"/>
      <c r="D134" s="158"/>
      <c r="E134" s="159"/>
      <c r="F134" s="160"/>
      <c r="G134" s="160"/>
      <c r="H134" s="160"/>
      <c r="I134" s="160"/>
    </row>
    <row r="135" spans="1:9" x14ac:dyDescent="0.25">
      <c r="A135" s="141"/>
      <c r="B135" s="156"/>
      <c r="C135" s="157"/>
      <c r="D135" s="165"/>
      <c r="E135" s="166"/>
      <c r="F135" s="167"/>
      <c r="G135" s="168"/>
      <c r="H135" s="160"/>
      <c r="I135" s="160"/>
    </row>
    <row r="136" spans="1:9" ht="12.75" customHeight="1" x14ac:dyDescent="0.25">
      <c r="A136" s="141"/>
      <c r="B136" s="169"/>
      <c r="C136" s="169"/>
      <c r="D136" s="170"/>
      <c r="E136" s="166"/>
      <c r="F136" s="171"/>
      <c r="G136" s="172"/>
      <c r="H136" s="173"/>
      <c r="I136" s="173"/>
    </row>
    <row r="137" spans="1:9" x14ac:dyDescent="0.25">
      <c r="A137" s="141"/>
      <c r="B137" s="169"/>
      <c r="C137" s="169"/>
      <c r="D137" s="170"/>
      <c r="E137" s="166"/>
      <c r="F137" s="171"/>
      <c r="G137" s="172"/>
      <c r="H137" s="173"/>
      <c r="I137" s="173"/>
    </row>
    <row r="138" spans="1:9" x14ac:dyDescent="0.25">
      <c r="A138" s="141"/>
      <c r="B138" s="169"/>
      <c r="C138" s="169"/>
      <c r="D138" s="170"/>
      <c r="E138" s="166"/>
      <c r="F138" s="171"/>
      <c r="G138" s="172"/>
      <c r="H138" s="173"/>
      <c r="I138" s="173"/>
    </row>
    <row r="139" spans="1:9" x14ac:dyDescent="0.25">
      <c r="A139" s="141"/>
      <c r="B139" s="169"/>
      <c r="C139" s="169"/>
      <c r="D139" s="170"/>
      <c r="E139" s="166"/>
      <c r="F139" s="171"/>
      <c r="G139" s="172"/>
      <c r="H139" s="173"/>
      <c r="I139" s="173"/>
    </row>
    <row r="140" spans="1:9" x14ac:dyDescent="0.25">
      <c r="A140" s="141"/>
      <c r="B140" s="169"/>
      <c r="C140" s="169"/>
      <c r="D140" s="170"/>
      <c r="E140" s="166"/>
      <c r="F140" s="171"/>
      <c r="G140" s="172"/>
      <c r="H140" s="173"/>
      <c r="I140" s="173"/>
    </row>
    <row r="141" spans="1:9" x14ac:dyDescent="0.25">
      <c r="A141" s="141"/>
      <c r="B141" s="169"/>
      <c r="C141" s="169"/>
      <c r="D141" s="170"/>
      <c r="E141" s="166"/>
      <c r="F141" s="171"/>
      <c r="G141" s="172"/>
      <c r="H141" s="173"/>
      <c r="I141" s="173"/>
    </row>
    <row r="142" spans="1:9" x14ac:dyDescent="0.25">
      <c r="A142" s="141"/>
      <c r="B142" s="169"/>
      <c r="C142" s="169"/>
      <c r="D142" s="170"/>
      <c r="E142" s="166"/>
      <c r="F142" s="171"/>
      <c r="G142" s="172"/>
      <c r="H142" s="173"/>
      <c r="I142" s="173"/>
    </row>
    <row r="143" spans="1:9" x14ac:dyDescent="0.25">
      <c r="A143" s="141"/>
      <c r="B143" s="169"/>
      <c r="C143" s="169"/>
      <c r="D143" s="170"/>
      <c r="E143" s="166"/>
      <c r="F143" s="171"/>
      <c r="G143" s="172"/>
      <c r="H143" s="173"/>
      <c r="I143" s="173"/>
    </row>
    <row r="144" spans="1:9" x14ac:dyDescent="0.25">
      <c r="A144" s="141"/>
      <c r="B144" s="169"/>
      <c r="C144" s="169"/>
      <c r="D144" s="170"/>
      <c r="E144" s="166"/>
      <c r="F144" s="171"/>
      <c r="G144" s="172"/>
      <c r="H144" s="173"/>
      <c r="I144" s="173"/>
    </row>
    <row r="145" spans="1:9" x14ac:dyDescent="0.25">
      <c r="A145" s="141"/>
      <c r="B145" s="169"/>
      <c r="C145" s="169"/>
      <c r="D145" s="170"/>
      <c r="E145" s="166"/>
      <c r="F145" s="171"/>
      <c r="G145" s="172"/>
      <c r="H145" s="173"/>
      <c r="I145" s="173"/>
    </row>
    <row r="146" spans="1:9" x14ac:dyDescent="0.25">
      <c r="A146" s="141"/>
      <c r="B146" s="169"/>
      <c r="C146" s="169"/>
      <c r="D146" s="170"/>
      <c r="E146" s="166"/>
      <c r="F146" s="171"/>
      <c r="G146" s="172"/>
      <c r="H146" s="173"/>
      <c r="I146" s="173"/>
    </row>
    <row r="147" spans="1:9" x14ac:dyDescent="0.25">
      <c r="A147" s="141"/>
      <c r="B147" s="169"/>
      <c r="C147" s="169"/>
      <c r="D147" s="170"/>
      <c r="E147" s="166"/>
      <c r="F147" s="171"/>
      <c r="G147" s="172"/>
      <c r="H147" s="173"/>
      <c r="I147" s="173"/>
    </row>
    <row r="148" spans="1:9" x14ac:dyDescent="0.25">
      <c r="A148" s="141"/>
      <c r="B148" s="169"/>
      <c r="C148" s="169"/>
      <c r="D148" s="170"/>
      <c r="E148" s="166"/>
      <c r="F148" s="171"/>
      <c r="G148" s="172"/>
      <c r="H148" s="173"/>
      <c r="I148" s="173"/>
    </row>
    <row r="149" spans="1:9" x14ac:dyDescent="0.25">
      <c r="A149" s="141"/>
      <c r="B149" s="169"/>
      <c r="C149" s="169"/>
      <c r="D149" s="170"/>
      <c r="E149" s="166"/>
      <c r="F149" s="171"/>
      <c r="G149" s="172"/>
      <c r="H149" s="173"/>
      <c r="I149" s="173"/>
    </row>
    <row r="150" spans="1:9" x14ac:dyDescent="0.25">
      <c r="A150" s="141"/>
      <c r="B150" s="169"/>
      <c r="C150" s="169"/>
      <c r="D150" s="170"/>
      <c r="E150" s="166"/>
      <c r="F150" s="171"/>
      <c r="G150" s="172"/>
      <c r="H150" s="173"/>
      <c r="I150" s="173"/>
    </row>
    <row r="151" spans="1:9" x14ac:dyDescent="0.25">
      <c r="A151" s="141"/>
      <c r="B151" s="169"/>
      <c r="C151" s="169"/>
      <c r="D151" s="170"/>
      <c r="E151" s="166"/>
      <c r="F151" s="171"/>
      <c r="G151" s="172"/>
      <c r="H151" s="173"/>
      <c r="I151" s="173"/>
    </row>
    <row r="152" spans="1:9" x14ac:dyDescent="0.25">
      <c r="A152" s="141"/>
      <c r="B152" s="169"/>
      <c r="C152" s="169"/>
      <c r="D152" s="170"/>
      <c r="E152" s="166"/>
      <c r="F152" s="171"/>
      <c r="G152" s="172"/>
      <c r="H152" s="173"/>
      <c r="I152" s="173"/>
    </row>
    <row r="153" spans="1:9" x14ac:dyDescent="0.25">
      <c r="A153" s="141"/>
      <c r="B153" s="169"/>
      <c r="C153" s="169"/>
      <c r="D153" s="170"/>
      <c r="E153" s="166"/>
      <c r="F153" s="171"/>
      <c r="G153" s="172"/>
      <c r="H153" s="173"/>
      <c r="I153" s="173"/>
    </row>
    <row r="154" spans="1:9" x14ac:dyDescent="0.25">
      <c r="A154" s="141"/>
      <c r="B154" s="169"/>
      <c r="C154" s="169"/>
      <c r="D154" s="170"/>
      <c r="E154" s="166"/>
      <c r="F154" s="171"/>
      <c r="G154" s="172"/>
      <c r="H154" s="173"/>
      <c r="I154" s="173"/>
    </row>
    <row r="155" spans="1:9" x14ac:dyDescent="0.25">
      <c r="A155" s="141"/>
      <c r="B155" s="169"/>
      <c r="C155" s="169"/>
      <c r="D155" s="170"/>
      <c r="E155" s="166"/>
      <c r="F155" s="171"/>
      <c r="G155" s="172"/>
      <c r="H155" s="173"/>
      <c r="I155" s="173"/>
    </row>
    <row r="156" spans="1:9" x14ac:dyDescent="0.25">
      <c r="A156" s="141"/>
      <c r="B156" s="169"/>
      <c r="C156" s="169"/>
      <c r="D156" s="170"/>
      <c r="E156" s="166"/>
      <c r="F156" s="171"/>
      <c r="G156" s="172"/>
      <c r="H156" s="173"/>
      <c r="I156" s="173"/>
    </row>
    <row r="157" spans="1:9" x14ac:dyDescent="0.25">
      <c r="A157" s="141"/>
      <c r="B157" s="169"/>
      <c r="C157" s="169"/>
      <c r="D157" s="170"/>
      <c r="E157" s="166"/>
      <c r="F157" s="171"/>
      <c r="G157" s="172"/>
      <c r="H157" s="173"/>
      <c r="I157" s="173"/>
    </row>
    <row r="158" spans="1:9" x14ac:dyDescent="0.25">
      <c r="A158" s="141"/>
      <c r="B158" s="169"/>
      <c r="C158" s="169"/>
      <c r="D158" s="170"/>
      <c r="E158" s="170"/>
      <c r="F158" s="171"/>
      <c r="G158" s="172"/>
      <c r="H158" s="173"/>
      <c r="I158" s="173"/>
    </row>
    <row r="159" spans="1:9" x14ac:dyDescent="0.25">
      <c r="A159" s="141"/>
      <c r="B159" s="169"/>
      <c r="C159" s="169"/>
      <c r="D159" s="170"/>
      <c r="E159" s="170"/>
      <c r="F159" s="171"/>
      <c r="G159" s="172"/>
      <c r="H159" s="173"/>
      <c r="I159" s="173"/>
    </row>
    <row r="160" spans="1:9" x14ac:dyDescent="0.25">
      <c r="A160" s="141"/>
      <c r="B160" s="169"/>
      <c r="C160" s="169"/>
      <c r="D160" s="170"/>
      <c r="E160" s="170"/>
      <c r="F160" s="171"/>
      <c r="G160" s="172"/>
      <c r="H160" s="173"/>
      <c r="I160" s="173"/>
    </row>
    <row r="161" spans="1:9" x14ac:dyDescent="0.25">
      <c r="A161" s="141"/>
      <c r="B161" s="169"/>
      <c r="C161" s="169"/>
      <c r="D161" s="170"/>
      <c r="E161" s="170"/>
      <c r="F161" s="171"/>
      <c r="G161" s="172"/>
      <c r="H161" s="173"/>
      <c r="I161" s="173"/>
    </row>
    <row r="162" spans="1:9" x14ac:dyDescent="0.25">
      <c r="A162" s="141"/>
      <c r="B162" s="169"/>
      <c r="C162" s="169"/>
      <c r="D162" s="170"/>
      <c r="E162" s="170"/>
      <c r="F162" s="171"/>
      <c r="G162" s="172"/>
      <c r="H162" s="173"/>
      <c r="I162" s="173"/>
    </row>
    <row r="163" spans="1:9" x14ac:dyDescent="0.25">
      <c r="A163" s="141"/>
      <c r="B163" s="169"/>
      <c r="C163" s="169"/>
      <c r="D163" s="170"/>
      <c r="E163" s="170"/>
      <c r="F163" s="171"/>
      <c r="G163" s="172"/>
      <c r="H163" s="173"/>
      <c r="I163" s="173"/>
    </row>
    <row r="164" spans="1:9" x14ac:dyDescent="0.25">
      <c r="A164" s="141"/>
      <c r="B164" s="169"/>
      <c r="C164" s="169"/>
      <c r="D164" s="170"/>
      <c r="E164" s="170"/>
      <c r="F164" s="171"/>
      <c r="G164" s="172"/>
      <c r="H164" s="173"/>
      <c r="I164" s="173"/>
    </row>
    <row r="165" spans="1:9" x14ac:dyDescent="0.25">
      <c r="A165" s="141"/>
      <c r="B165" s="169"/>
      <c r="C165" s="169"/>
      <c r="D165" s="170"/>
      <c r="E165" s="170"/>
      <c r="F165" s="171"/>
      <c r="G165" s="172"/>
      <c r="H165" s="173"/>
      <c r="I165" s="173"/>
    </row>
    <row r="166" spans="1:9" x14ac:dyDescent="0.25">
      <c r="A166" s="141"/>
      <c r="B166" s="169"/>
      <c r="C166" s="169"/>
      <c r="D166" s="170"/>
      <c r="E166" s="170"/>
      <c r="F166" s="171"/>
      <c r="G166" s="172"/>
      <c r="H166" s="173"/>
      <c r="I166" s="173"/>
    </row>
    <row r="167" spans="1:9" x14ac:dyDescent="0.25">
      <c r="A167" s="141"/>
      <c r="B167" s="169"/>
      <c r="C167" s="169"/>
      <c r="D167" s="170"/>
      <c r="E167" s="170"/>
      <c r="F167" s="171"/>
      <c r="G167" s="172"/>
      <c r="H167" s="173"/>
      <c r="I167" s="173"/>
    </row>
    <row r="168" spans="1:9" x14ac:dyDescent="0.25">
      <c r="A168" s="141"/>
      <c r="B168" s="169"/>
      <c r="C168" s="169"/>
      <c r="D168" s="170"/>
      <c r="E168" s="170"/>
      <c r="F168" s="171"/>
      <c r="G168" s="172"/>
      <c r="H168" s="173"/>
      <c r="I168" s="173"/>
    </row>
    <row r="169" spans="1:9" x14ac:dyDescent="0.25">
      <c r="A169" s="141"/>
      <c r="B169" s="169"/>
      <c r="C169" s="169"/>
      <c r="D169" s="170"/>
      <c r="E169" s="170"/>
      <c r="F169" s="171"/>
      <c r="G169" s="172"/>
      <c r="H169" s="173"/>
      <c r="I169" s="173"/>
    </row>
    <row r="170" spans="1:9" x14ac:dyDescent="0.25">
      <c r="A170" s="141"/>
      <c r="B170" s="169"/>
      <c r="C170" s="169"/>
      <c r="D170" s="170"/>
      <c r="E170" s="170"/>
      <c r="F170" s="171"/>
      <c r="G170" s="172"/>
      <c r="H170" s="173"/>
      <c r="I170" s="173"/>
    </row>
    <row r="171" spans="1:9" x14ac:dyDescent="0.25">
      <c r="A171" s="141"/>
      <c r="B171" s="169"/>
      <c r="C171" s="169"/>
      <c r="D171" s="170"/>
      <c r="E171" s="170"/>
      <c r="F171" s="171"/>
      <c r="G171" s="172"/>
      <c r="H171" s="173"/>
      <c r="I171" s="173"/>
    </row>
    <row r="172" spans="1:9" x14ac:dyDescent="0.25">
      <c r="A172" s="141"/>
      <c r="B172" s="169"/>
      <c r="C172" s="169"/>
      <c r="D172" s="170"/>
      <c r="E172" s="170"/>
      <c r="F172" s="171"/>
      <c r="G172" s="172"/>
      <c r="H172" s="173"/>
      <c r="I172" s="173"/>
    </row>
    <row r="173" spans="1:9" x14ac:dyDescent="0.25">
      <c r="A173" s="141"/>
      <c r="B173" s="169"/>
      <c r="C173" s="169"/>
      <c r="D173" s="170"/>
      <c r="E173" s="170"/>
      <c r="F173" s="171"/>
      <c r="G173" s="172"/>
      <c r="H173" s="173"/>
      <c r="I173" s="173"/>
    </row>
    <row r="174" spans="1:9" x14ac:dyDescent="0.25">
      <c r="A174" s="141"/>
      <c r="B174" s="169"/>
      <c r="C174" s="169"/>
      <c r="D174" s="170"/>
      <c r="E174" s="170"/>
      <c r="F174" s="171"/>
      <c r="G174" s="172"/>
      <c r="H174" s="173"/>
      <c r="I174" s="173"/>
    </row>
    <row r="175" spans="1:9" x14ac:dyDescent="0.25">
      <c r="A175" s="141"/>
      <c r="B175" s="169"/>
      <c r="C175" s="169"/>
      <c r="D175" s="170"/>
      <c r="E175" s="170"/>
      <c r="F175" s="171"/>
      <c r="G175" s="172"/>
      <c r="H175" s="173"/>
      <c r="I175" s="173"/>
    </row>
    <row r="176" spans="1:9" x14ac:dyDescent="0.25">
      <c r="A176" s="141"/>
      <c r="B176" s="169"/>
      <c r="C176" s="169"/>
      <c r="D176" s="170"/>
      <c r="E176" s="170"/>
      <c r="F176" s="171"/>
      <c r="G176" s="172"/>
      <c r="H176" s="173"/>
      <c r="I176" s="173"/>
    </row>
    <row r="177" spans="1:9" x14ac:dyDescent="0.25">
      <c r="A177" s="141"/>
      <c r="B177" s="169"/>
      <c r="C177" s="169"/>
      <c r="D177" s="170"/>
      <c r="E177" s="170"/>
      <c r="F177" s="171"/>
      <c r="G177" s="172"/>
      <c r="H177" s="173"/>
      <c r="I177" s="173"/>
    </row>
    <row r="178" spans="1:9" x14ac:dyDescent="0.25">
      <c r="A178" s="141"/>
      <c r="B178" s="169"/>
      <c r="C178" s="169"/>
      <c r="D178" s="170"/>
      <c r="E178" s="170"/>
      <c r="F178" s="171"/>
      <c r="G178" s="172"/>
      <c r="H178" s="173"/>
      <c r="I178" s="173"/>
    </row>
    <row r="179" spans="1:9" x14ac:dyDescent="0.25">
      <c r="A179" s="141"/>
      <c r="B179" s="169"/>
      <c r="C179" s="169"/>
      <c r="D179" s="170"/>
      <c r="E179" s="170"/>
      <c r="F179" s="171"/>
      <c r="G179" s="172"/>
      <c r="H179" s="173"/>
      <c r="I179" s="173"/>
    </row>
    <row r="180" spans="1:9" x14ac:dyDescent="0.25">
      <c r="A180" s="141"/>
      <c r="B180" s="169"/>
      <c r="C180" s="169"/>
      <c r="D180" s="170"/>
      <c r="E180" s="170"/>
      <c r="F180" s="171"/>
      <c r="G180" s="172"/>
      <c r="H180" s="173"/>
      <c r="I180" s="173"/>
    </row>
    <row r="181" spans="1:9" x14ac:dyDescent="0.25">
      <c r="A181" s="141"/>
      <c r="B181" s="169"/>
      <c r="C181" s="169"/>
      <c r="D181" s="170"/>
      <c r="E181" s="170"/>
      <c r="F181" s="171"/>
      <c r="G181" s="172"/>
      <c r="H181" s="173"/>
      <c r="I181" s="173"/>
    </row>
    <row r="182" spans="1:9" x14ac:dyDescent="0.25">
      <c r="A182" s="141"/>
      <c r="B182" s="169"/>
      <c r="C182" s="169"/>
      <c r="D182" s="170"/>
      <c r="E182" s="170"/>
      <c r="F182" s="171"/>
      <c r="G182" s="172"/>
      <c r="H182" s="173"/>
      <c r="I182" s="173"/>
    </row>
  </sheetData>
  <mergeCells count="2">
    <mergeCell ref="B9:C9"/>
    <mergeCell ref="B14:C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57"/>
  <sheetViews>
    <sheetView view="pageBreakPreview" zoomScale="112" zoomScaleNormal="100" zoomScaleSheetLayoutView="11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1" sqref="L11"/>
    </sheetView>
  </sheetViews>
  <sheetFormatPr defaultRowHeight="15" x14ac:dyDescent="0.25"/>
  <cols>
    <col min="1" max="1" width="36.42578125" style="54" customWidth="1"/>
    <col min="2" max="2" width="15.5703125" style="54" bestFit="1" customWidth="1"/>
    <col min="3" max="3" width="5.7109375" style="54" customWidth="1"/>
    <col min="4" max="4" width="5.42578125" style="54" customWidth="1"/>
    <col min="5" max="5" width="6.28515625" style="59" customWidth="1"/>
    <col min="6" max="6" width="10.7109375" style="60" customWidth="1"/>
    <col min="7" max="7" width="19.140625" style="54" customWidth="1"/>
    <col min="8" max="8" width="13.7109375" style="62" customWidth="1"/>
    <col min="9" max="9" width="12.42578125" style="62" customWidth="1"/>
    <col min="10" max="10" width="13.7109375" style="62" customWidth="1"/>
    <col min="11" max="11" width="15.85546875" style="54" customWidth="1"/>
    <col min="12" max="12" width="15.5703125" style="54" customWidth="1"/>
    <col min="13" max="13" width="14.28515625" style="54" bestFit="1" customWidth="1"/>
    <col min="14" max="14" width="9.140625" style="54"/>
    <col min="15" max="15" width="19.5703125" style="54" bestFit="1" customWidth="1"/>
    <col min="16" max="16" width="15" style="54" customWidth="1"/>
    <col min="17" max="16384" width="9.140625" style="54"/>
  </cols>
  <sheetData>
    <row r="2" spans="1:16" ht="30" x14ac:dyDescent="0.25">
      <c r="E2" s="55"/>
      <c r="F2" s="56" t="s">
        <v>289</v>
      </c>
      <c r="G2" s="55" t="s">
        <v>186</v>
      </c>
      <c r="H2" s="57" t="s">
        <v>290</v>
      </c>
      <c r="I2" s="57" t="s">
        <v>291</v>
      </c>
      <c r="J2" s="57" t="s">
        <v>292</v>
      </c>
      <c r="K2" s="55" t="s">
        <v>293</v>
      </c>
      <c r="L2" s="55" t="s">
        <v>294</v>
      </c>
      <c r="M2" s="55" t="s">
        <v>185</v>
      </c>
    </row>
    <row r="3" spans="1:16" x14ac:dyDescent="0.25">
      <c r="A3" s="54" t="s">
        <v>295</v>
      </c>
      <c r="B3" s="58">
        <v>1.49E-2</v>
      </c>
      <c r="E3" s="59">
        <v>1</v>
      </c>
      <c r="F3" s="60">
        <v>42470</v>
      </c>
      <c r="G3" s="61">
        <f>$B$14</f>
        <v>4000000</v>
      </c>
      <c r="H3" s="62">
        <f t="shared" ref="H3:H57" si="0">$B$17</f>
        <v>19096.61</v>
      </c>
      <c r="I3" s="62">
        <f>$H3-$J3</f>
        <v>5763.2800000000007</v>
      </c>
      <c r="J3" s="62">
        <f t="shared" ref="J3:J57" si="1">ROUND($G3*($B$15/12), 2)</f>
        <v>13333.33</v>
      </c>
      <c r="K3" s="62">
        <f>I3</f>
        <v>5763.2800000000007</v>
      </c>
      <c r="L3" s="62">
        <f>J3</f>
        <v>13333.33</v>
      </c>
      <c r="M3" s="61">
        <f>$G3-$I3</f>
        <v>3994236.72</v>
      </c>
    </row>
    <row r="4" spans="1:16" x14ac:dyDescent="0.25">
      <c r="A4" s="54" t="s">
        <v>296</v>
      </c>
      <c r="B4" s="58">
        <v>0.03</v>
      </c>
      <c r="E4" s="59">
        <v>2</v>
      </c>
      <c r="F4" s="60">
        <v>42500</v>
      </c>
      <c r="G4" s="61">
        <f>$M3</f>
        <v>3994236.72</v>
      </c>
      <c r="H4" s="62">
        <f t="shared" si="0"/>
        <v>19096.61</v>
      </c>
      <c r="I4" s="62">
        <f t="shared" ref="I4:I57" si="2">$H4-$J4</f>
        <v>5782.49</v>
      </c>
      <c r="J4" s="62">
        <f t="shared" si="1"/>
        <v>13314.12</v>
      </c>
      <c r="K4" s="61">
        <f>$I4+$K3</f>
        <v>11545.77</v>
      </c>
      <c r="L4" s="61">
        <f>$J4+$L3</f>
        <v>26647.45</v>
      </c>
      <c r="M4" s="61">
        <f t="shared" ref="M4:M57" si="3">$G4-$I4</f>
        <v>3988454.23</v>
      </c>
    </row>
    <row r="5" spans="1:16" x14ac:dyDescent="0.25">
      <c r="A5" s="54" t="s">
        <v>280</v>
      </c>
      <c r="B5" s="63">
        <v>0</v>
      </c>
      <c r="E5" s="59">
        <v>3</v>
      </c>
      <c r="F5" s="60">
        <v>42531</v>
      </c>
      <c r="G5" s="61">
        <f t="shared" ref="G5:G57" si="4">$M4</f>
        <v>3988454.23</v>
      </c>
      <c r="H5" s="62">
        <f t="shared" si="0"/>
        <v>19096.61</v>
      </c>
      <c r="I5" s="62">
        <f t="shared" si="2"/>
        <v>5801.76</v>
      </c>
      <c r="J5" s="62">
        <f t="shared" si="1"/>
        <v>13294.85</v>
      </c>
      <c r="K5" s="61">
        <f t="shared" ref="K5:K57" si="5">$I5+$K4</f>
        <v>17347.53</v>
      </c>
      <c r="L5" s="61">
        <f t="shared" ref="L5:L57" si="6">$J5+$L4</f>
        <v>39942.300000000003</v>
      </c>
      <c r="M5" s="61">
        <f t="shared" si="3"/>
        <v>3982652.47</v>
      </c>
      <c r="O5" s="64" t="s">
        <v>297</v>
      </c>
      <c r="P5" s="65"/>
    </row>
    <row r="6" spans="1:16" x14ac:dyDescent="0.25">
      <c r="E6" s="59">
        <v>4</v>
      </c>
      <c r="F6" s="60">
        <v>42561</v>
      </c>
      <c r="G6" s="61">
        <f t="shared" si="4"/>
        <v>3982652.47</v>
      </c>
      <c r="H6" s="62">
        <f t="shared" si="0"/>
        <v>19096.61</v>
      </c>
      <c r="I6" s="62">
        <f t="shared" si="2"/>
        <v>5821.1</v>
      </c>
      <c r="J6" s="62">
        <f t="shared" si="1"/>
        <v>13275.51</v>
      </c>
      <c r="K6" s="61">
        <f t="shared" si="5"/>
        <v>23168.629999999997</v>
      </c>
      <c r="L6" s="61">
        <f t="shared" si="6"/>
        <v>53217.810000000005</v>
      </c>
      <c r="M6" s="61">
        <f t="shared" si="3"/>
        <v>3976831.37</v>
      </c>
      <c r="O6" s="66" t="s">
        <v>298</v>
      </c>
      <c r="P6" s="67">
        <v>1320</v>
      </c>
    </row>
    <row r="7" spans="1:16" x14ac:dyDescent="0.25">
      <c r="E7" s="59">
        <v>5</v>
      </c>
      <c r="F7" s="60">
        <v>42592</v>
      </c>
      <c r="G7" s="61">
        <f t="shared" si="4"/>
        <v>3976831.37</v>
      </c>
      <c r="H7" s="62">
        <f t="shared" si="0"/>
        <v>19096.61</v>
      </c>
      <c r="I7" s="62">
        <f t="shared" si="2"/>
        <v>5840.51</v>
      </c>
      <c r="J7" s="62">
        <f t="shared" si="1"/>
        <v>13256.1</v>
      </c>
      <c r="K7" s="61">
        <f t="shared" si="5"/>
        <v>29009.14</v>
      </c>
      <c r="L7" s="61">
        <f t="shared" si="6"/>
        <v>66473.91</v>
      </c>
      <c r="M7" s="61">
        <f t="shared" si="3"/>
        <v>3970990.8600000003</v>
      </c>
      <c r="O7" s="66" t="s">
        <v>299</v>
      </c>
      <c r="P7" s="68" t="s">
        <v>300</v>
      </c>
    </row>
    <row r="8" spans="1:16" x14ac:dyDescent="0.25">
      <c r="A8" s="69" t="s">
        <v>301</v>
      </c>
      <c r="B8" s="70">
        <v>4000000</v>
      </c>
      <c r="E8" s="59">
        <v>6</v>
      </c>
      <c r="F8" s="60">
        <v>42623</v>
      </c>
      <c r="G8" s="61">
        <f t="shared" si="4"/>
        <v>3970990.8600000003</v>
      </c>
      <c r="H8" s="62">
        <f t="shared" si="0"/>
        <v>19096.61</v>
      </c>
      <c r="I8" s="62">
        <f t="shared" si="2"/>
        <v>5859.9700000000012</v>
      </c>
      <c r="J8" s="62">
        <f t="shared" si="1"/>
        <v>13236.64</v>
      </c>
      <c r="K8" s="61">
        <f t="shared" si="5"/>
        <v>34869.11</v>
      </c>
      <c r="L8" s="61">
        <f t="shared" si="6"/>
        <v>79710.55</v>
      </c>
      <c r="M8" s="61">
        <f t="shared" si="3"/>
        <v>3965130.89</v>
      </c>
      <c r="O8" s="66"/>
      <c r="P8" s="68"/>
    </row>
    <row r="9" spans="1:16" x14ac:dyDescent="0.25">
      <c r="A9" s="69" t="s">
        <v>302</v>
      </c>
      <c r="B9" s="71">
        <v>0.04</v>
      </c>
      <c r="E9" s="59">
        <v>7</v>
      </c>
      <c r="F9" s="60">
        <v>42653</v>
      </c>
      <c r="G9" s="61">
        <f t="shared" si="4"/>
        <v>3965130.89</v>
      </c>
      <c r="H9" s="62">
        <f t="shared" si="0"/>
        <v>19096.61</v>
      </c>
      <c r="I9" s="62">
        <f t="shared" si="2"/>
        <v>5879.51</v>
      </c>
      <c r="J9" s="62">
        <f t="shared" si="1"/>
        <v>13217.1</v>
      </c>
      <c r="K9" s="61">
        <f t="shared" si="5"/>
        <v>40748.620000000003</v>
      </c>
      <c r="L9" s="61">
        <f t="shared" si="6"/>
        <v>92927.650000000009</v>
      </c>
      <c r="M9" s="61">
        <f t="shared" si="3"/>
        <v>3959251.3800000004</v>
      </c>
      <c r="O9" s="66" t="s">
        <v>303</v>
      </c>
      <c r="P9" s="72">
        <f>SUM(P6:P8)</f>
        <v>1320</v>
      </c>
    </row>
    <row r="10" spans="1:16" x14ac:dyDescent="0.25">
      <c r="A10" s="69" t="s">
        <v>304</v>
      </c>
      <c r="B10" s="69">
        <v>12</v>
      </c>
      <c r="E10" s="59">
        <v>8</v>
      </c>
      <c r="F10" s="60">
        <v>42684</v>
      </c>
      <c r="G10" s="61">
        <f t="shared" si="4"/>
        <v>3959251.3800000004</v>
      </c>
      <c r="H10" s="62">
        <f t="shared" si="0"/>
        <v>19096.61</v>
      </c>
      <c r="I10" s="62">
        <f t="shared" si="2"/>
        <v>5899.1100000000006</v>
      </c>
      <c r="J10" s="62">
        <f t="shared" si="1"/>
        <v>13197.5</v>
      </c>
      <c r="K10" s="61">
        <f t="shared" si="5"/>
        <v>46647.73</v>
      </c>
      <c r="L10" s="61">
        <f t="shared" si="6"/>
        <v>106125.15000000001</v>
      </c>
      <c r="M10" s="61">
        <f t="shared" si="3"/>
        <v>3953352.2700000005</v>
      </c>
      <c r="O10" s="66"/>
      <c r="P10" s="68"/>
    </row>
    <row r="11" spans="1:16" x14ac:dyDescent="0.25">
      <c r="A11" s="69" t="s">
        <v>305</v>
      </c>
      <c r="B11" s="70">
        <f>((B9/B10)*B8)</f>
        <v>13333.333333333334</v>
      </c>
      <c r="E11" s="59">
        <v>9</v>
      </c>
      <c r="F11" s="60">
        <v>42714</v>
      </c>
      <c r="G11" s="61">
        <f t="shared" si="4"/>
        <v>3953352.2700000005</v>
      </c>
      <c r="H11" s="62">
        <f t="shared" si="0"/>
        <v>19096.61</v>
      </c>
      <c r="I11" s="62">
        <f t="shared" si="2"/>
        <v>5918.77</v>
      </c>
      <c r="J11" s="62">
        <f t="shared" si="1"/>
        <v>13177.84</v>
      </c>
      <c r="K11" s="61">
        <f t="shared" si="5"/>
        <v>52566.5</v>
      </c>
      <c r="L11" s="61">
        <f t="shared" si="6"/>
        <v>119302.99</v>
      </c>
      <c r="M11" s="61">
        <f t="shared" si="3"/>
        <v>3947433.5000000005</v>
      </c>
      <c r="O11" s="66" t="s">
        <v>306</v>
      </c>
      <c r="P11" s="72">
        <v>13855</v>
      </c>
    </row>
    <row r="12" spans="1:16" x14ac:dyDescent="0.25">
      <c r="E12" s="59">
        <v>10</v>
      </c>
      <c r="F12" s="60">
        <v>42745</v>
      </c>
      <c r="G12" s="61">
        <f t="shared" si="4"/>
        <v>3947433.5000000005</v>
      </c>
      <c r="H12" s="62">
        <f t="shared" si="0"/>
        <v>19096.61</v>
      </c>
      <c r="I12" s="62">
        <f t="shared" si="2"/>
        <v>5938.5</v>
      </c>
      <c r="J12" s="62">
        <f t="shared" si="1"/>
        <v>13158.11</v>
      </c>
      <c r="K12" s="61">
        <f t="shared" si="5"/>
        <v>58505</v>
      </c>
      <c r="L12" s="61">
        <f t="shared" si="6"/>
        <v>132461.1</v>
      </c>
      <c r="M12" s="61">
        <f t="shared" si="3"/>
        <v>3941495.0000000005</v>
      </c>
      <c r="O12" s="73" t="s">
        <v>307</v>
      </c>
      <c r="P12" s="74">
        <v>13855</v>
      </c>
    </row>
    <row r="13" spans="1:16" x14ac:dyDescent="0.25">
      <c r="E13" s="59">
        <v>11</v>
      </c>
      <c r="F13" s="60">
        <v>42776</v>
      </c>
      <c r="G13" s="61">
        <f t="shared" si="4"/>
        <v>3941495.0000000005</v>
      </c>
      <c r="H13" s="62">
        <f t="shared" si="0"/>
        <v>19096.61</v>
      </c>
      <c r="I13" s="62">
        <f t="shared" si="2"/>
        <v>5958.2900000000009</v>
      </c>
      <c r="J13" s="62">
        <f t="shared" si="1"/>
        <v>13138.32</v>
      </c>
      <c r="K13" s="61">
        <f t="shared" si="5"/>
        <v>64463.29</v>
      </c>
      <c r="L13" s="61">
        <f t="shared" si="6"/>
        <v>145599.42000000001</v>
      </c>
      <c r="M13" s="61">
        <f t="shared" si="3"/>
        <v>3935536.7100000004</v>
      </c>
      <c r="P13" s="62"/>
    </row>
    <row r="14" spans="1:16" s="55" customFormat="1" x14ac:dyDescent="0.25">
      <c r="A14" s="60" t="s">
        <v>301</v>
      </c>
      <c r="B14" s="63">
        <v>4000000</v>
      </c>
      <c r="E14" s="59">
        <v>12</v>
      </c>
      <c r="F14" s="60">
        <v>42804</v>
      </c>
      <c r="G14" s="61">
        <f t="shared" si="4"/>
        <v>3935536.7100000004</v>
      </c>
      <c r="H14" s="62">
        <f t="shared" si="0"/>
        <v>19096.61</v>
      </c>
      <c r="I14" s="62">
        <f t="shared" si="2"/>
        <v>5978.1500000000015</v>
      </c>
      <c r="J14" s="62">
        <f t="shared" si="1"/>
        <v>13118.46</v>
      </c>
      <c r="K14" s="61">
        <f t="shared" si="5"/>
        <v>70441.440000000002</v>
      </c>
      <c r="L14" s="61">
        <f t="shared" si="6"/>
        <v>158717.88</v>
      </c>
      <c r="M14" s="61">
        <f t="shared" si="3"/>
        <v>3929558.5600000005</v>
      </c>
      <c r="O14" s="75" t="s">
        <v>308</v>
      </c>
      <c r="P14" s="76"/>
    </row>
    <row r="15" spans="1:16" x14ac:dyDescent="0.25">
      <c r="A15" s="60" t="s">
        <v>302</v>
      </c>
      <c r="B15" s="58">
        <v>0.04</v>
      </c>
      <c r="E15" s="59">
        <v>13</v>
      </c>
      <c r="F15" s="60">
        <v>42835</v>
      </c>
      <c r="G15" s="61">
        <f t="shared" si="4"/>
        <v>3929558.5600000005</v>
      </c>
      <c r="H15" s="62">
        <f t="shared" si="0"/>
        <v>19096.61</v>
      </c>
      <c r="I15" s="62">
        <f t="shared" si="2"/>
        <v>5998.08</v>
      </c>
      <c r="J15" s="62">
        <f t="shared" si="1"/>
        <v>13098.53</v>
      </c>
      <c r="K15" s="61">
        <f t="shared" si="5"/>
        <v>76439.520000000004</v>
      </c>
      <c r="L15" s="61">
        <f t="shared" si="6"/>
        <v>171816.41</v>
      </c>
      <c r="M15" s="61">
        <f t="shared" si="3"/>
        <v>3923560.4800000004</v>
      </c>
      <c r="O15" s="66" t="s">
        <v>298</v>
      </c>
      <c r="P15" s="77">
        <v>1215</v>
      </c>
    </row>
    <row r="16" spans="1:16" x14ac:dyDescent="0.25">
      <c r="A16" s="60" t="s">
        <v>309</v>
      </c>
      <c r="B16" s="78">
        <v>360</v>
      </c>
      <c r="E16" s="59">
        <v>14</v>
      </c>
      <c r="F16" s="60">
        <v>42865</v>
      </c>
      <c r="G16" s="61">
        <f t="shared" si="4"/>
        <v>3923560.4800000004</v>
      </c>
      <c r="H16" s="62">
        <f t="shared" si="0"/>
        <v>19096.61</v>
      </c>
      <c r="I16" s="62">
        <f t="shared" si="2"/>
        <v>6018.08</v>
      </c>
      <c r="J16" s="62">
        <f t="shared" si="1"/>
        <v>13078.53</v>
      </c>
      <c r="K16" s="61">
        <f t="shared" si="5"/>
        <v>82457.600000000006</v>
      </c>
      <c r="L16" s="61">
        <f t="shared" si="6"/>
        <v>184894.94</v>
      </c>
      <c r="M16" s="61">
        <f t="shared" si="3"/>
        <v>3917542.4000000004</v>
      </c>
      <c r="O16" s="66" t="s">
        <v>299</v>
      </c>
      <c r="P16" s="72">
        <v>28986</v>
      </c>
    </row>
    <row r="17" spans="1:16" x14ac:dyDescent="0.25">
      <c r="A17" s="60" t="s">
        <v>305</v>
      </c>
      <c r="B17" s="79">
        <f>ROUND(PMT($B$15/12,$B$16,-$B$14,0), 2)</f>
        <v>19096.61</v>
      </c>
      <c r="E17" s="80">
        <v>15</v>
      </c>
      <c r="F17" s="60">
        <v>42896</v>
      </c>
      <c r="G17" s="81">
        <f t="shared" si="4"/>
        <v>3917542.4000000004</v>
      </c>
      <c r="H17" s="82">
        <f t="shared" si="0"/>
        <v>19096.61</v>
      </c>
      <c r="I17" s="82">
        <f t="shared" si="2"/>
        <v>6038.1400000000012</v>
      </c>
      <c r="J17" s="82">
        <f t="shared" si="1"/>
        <v>13058.47</v>
      </c>
      <c r="K17" s="81">
        <f t="shared" si="5"/>
        <v>88495.74</v>
      </c>
      <c r="L17" s="81">
        <f t="shared" si="6"/>
        <v>197953.41</v>
      </c>
      <c r="M17" s="81">
        <f t="shared" si="3"/>
        <v>3911504.2600000002</v>
      </c>
      <c r="O17" s="66"/>
      <c r="P17" s="68"/>
    </row>
    <row r="18" spans="1:16" x14ac:dyDescent="0.25">
      <c r="E18" s="59">
        <v>16</v>
      </c>
      <c r="F18" s="60">
        <v>42926</v>
      </c>
      <c r="G18" s="61">
        <f t="shared" si="4"/>
        <v>3911504.2600000002</v>
      </c>
      <c r="H18" s="62">
        <f t="shared" si="0"/>
        <v>19096.61</v>
      </c>
      <c r="I18" s="62">
        <f t="shared" si="2"/>
        <v>6058.26</v>
      </c>
      <c r="J18" s="62">
        <f t="shared" si="1"/>
        <v>13038.35</v>
      </c>
      <c r="K18" s="61">
        <f t="shared" si="5"/>
        <v>94554</v>
      </c>
      <c r="L18" s="61">
        <f t="shared" si="6"/>
        <v>210991.76</v>
      </c>
      <c r="M18" s="61">
        <f t="shared" si="3"/>
        <v>3905446.0000000005</v>
      </c>
      <c r="O18" s="66" t="s">
        <v>303</v>
      </c>
      <c r="P18" s="68"/>
    </row>
    <row r="19" spans="1:16" x14ac:dyDescent="0.25">
      <c r="A19" s="55"/>
      <c r="B19" s="55"/>
      <c r="E19" s="59">
        <v>17</v>
      </c>
      <c r="F19" s="60">
        <v>42957</v>
      </c>
      <c r="G19" s="61">
        <f t="shared" si="4"/>
        <v>3905446.0000000005</v>
      </c>
      <c r="H19" s="62">
        <f t="shared" si="0"/>
        <v>19096.61</v>
      </c>
      <c r="I19" s="62">
        <f t="shared" si="2"/>
        <v>6078.4600000000009</v>
      </c>
      <c r="J19" s="62">
        <f t="shared" si="1"/>
        <v>13018.15</v>
      </c>
      <c r="K19" s="61">
        <f t="shared" si="5"/>
        <v>100632.46</v>
      </c>
      <c r="L19" s="61">
        <f t="shared" si="6"/>
        <v>224009.91</v>
      </c>
      <c r="M19" s="61">
        <f t="shared" si="3"/>
        <v>3899367.5400000005</v>
      </c>
      <c r="O19" s="66"/>
      <c r="P19" s="68"/>
    </row>
    <row r="20" spans="1:16" x14ac:dyDescent="0.25">
      <c r="E20" s="59">
        <v>18</v>
      </c>
      <c r="F20" s="60">
        <v>42988</v>
      </c>
      <c r="G20" s="61">
        <f t="shared" si="4"/>
        <v>3899367.5400000005</v>
      </c>
      <c r="H20" s="62">
        <f t="shared" si="0"/>
        <v>19096.61</v>
      </c>
      <c r="I20" s="62">
        <f t="shared" si="2"/>
        <v>6098.7200000000012</v>
      </c>
      <c r="J20" s="62">
        <f t="shared" si="1"/>
        <v>12997.89</v>
      </c>
      <c r="K20" s="61">
        <f t="shared" si="5"/>
        <v>106731.18000000001</v>
      </c>
      <c r="L20" s="61">
        <f t="shared" si="6"/>
        <v>237007.8</v>
      </c>
      <c r="M20" s="61">
        <f t="shared" si="3"/>
        <v>3893268.8200000003</v>
      </c>
      <c r="O20" s="66" t="s">
        <v>306</v>
      </c>
      <c r="P20" s="83">
        <f>P$16/2</f>
        <v>14493</v>
      </c>
    </row>
    <row r="21" spans="1:16" x14ac:dyDescent="0.25">
      <c r="E21" s="59">
        <v>19</v>
      </c>
      <c r="F21" s="60">
        <v>43018</v>
      </c>
      <c r="G21" s="61">
        <f t="shared" si="4"/>
        <v>3893268.8200000003</v>
      </c>
      <c r="H21" s="62">
        <f t="shared" si="0"/>
        <v>19096.61</v>
      </c>
      <c r="I21" s="62">
        <f t="shared" si="2"/>
        <v>6119.0500000000011</v>
      </c>
      <c r="J21" s="62">
        <f t="shared" si="1"/>
        <v>12977.56</v>
      </c>
      <c r="K21" s="61">
        <f t="shared" si="5"/>
        <v>112850.23000000001</v>
      </c>
      <c r="L21" s="61">
        <f t="shared" si="6"/>
        <v>249985.36</v>
      </c>
      <c r="M21" s="61">
        <f t="shared" si="3"/>
        <v>3887149.7700000005</v>
      </c>
      <c r="O21" s="73" t="s">
        <v>310</v>
      </c>
      <c r="P21" s="84">
        <f>P$16/2</f>
        <v>14493</v>
      </c>
    </row>
    <row r="22" spans="1:16" x14ac:dyDescent="0.25">
      <c r="E22" s="59">
        <v>20</v>
      </c>
      <c r="F22" s="60">
        <v>43049</v>
      </c>
      <c r="G22" s="61">
        <f t="shared" si="4"/>
        <v>3887149.7700000005</v>
      </c>
      <c r="H22" s="62">
        <f t="shared" si="0"/>
        <v>19096.61</v>
      </c>
      <c r="I22" s="62">
        <f t="shared" si="2"/>
        <v>6139.4400000000005</v>
      </c>
      <c r="J22" s="62">
        <f t="shared" si="1"/>
        <v>12957.17</v>
      </c>
      <c r="K22" s="61">
        <f t="shared" si="5"/>
        <v>118989.67000000001</v>
      </c>
      <c r="L22" s="61">
        <f t="shared" si="6"/>
        <v>262942.52999999997</v>
      </c>
      <c r="M22" s="61">
        <f t="shared" si="3"/>
        <v>3881010.3300000005</v>
      </c>
    </row>
    <row r="23" spans="1:16" x14ac:dyDescent="0.25">
      <c r="E23" s="59">
        <v>21</v>
      </c>
      <c r="F23" s="60">
        <v>43079</v>
      </c>
      <c r="G23" s="61">
        <f t="shared" si="4"/>
        <v>3881010.3300000005</v>
      </c>
      <c r="H23" s="62">
        <f t="shared" si="0"/>
        <v>19096.61</v>
      </c>
      <c r="I23" s="62">
        <f t="shared" si="2"/>
        <v>6159.91</v>
      </c>
      <c r="J23" s="62">
        <f t="shared" si="1"/>
        <v>12936.7</v>
      </c>
      <c r="K23" s="61">
        <f t="shared" si="5"/>
        <v>125149.58000000002</v>
      </c>
      <c r="L23" s="61">
        <f t="shared" si="6"/>
        <v>275879.23</v>
      </c>
      <c r="M23" s="61">
        <f t="shared" si="3"/>
        <v>3874850.4200000004</v>
      </c>
      <c r="O23" s="64" t="s">
        <v>311</v>
      </c>
      <c r="P23" s="65"/>
    </row>
    <row r="24" spans="1:16" x14ac:dyDescent="0.25">
      <c r="E24" s="59">
        <v>22</v>
      </c>
      <c r="F24" s="60">
        <v>43110</v>
      </c>
      <c r="G24" s="61">
        <f t="shared" si="4"/>
        <v>3874850.4200000004</v>
      </c>
      <c r="H24" s="62">
        <f t="shared" si="0"/>
        <v>19096.61</v>
      </c>
      <c r="I24" s="62">
        <f t="shared" si="2"/>
        <v>6180.4400000000005</v>
      </c>
      <c r="J24" s="62">
        <f t="shared" si="1"/>
        <v>12916.17</v>
      </c>
      <c r="K24" s="61">
        <f t="shared" si="5"/>
        <v>131330.02000000002</v>
      </c>
      <c r="L24" s="61">
        <f t="shared" si="6"/>
        <v>288795.39999999997</v>
      </c>
      <c r="M24" s="61">
        <f t="shared" si="3"/>
        <v>3868669.9800000004</v>
      </c>
      <c r="O24" s="66" t="s">
        <v>298</v>
      </c>
      <c r="P24" s="67">
        <v>1215</v>
      </c>
    </row>
    <row r="25" spans="1:16" x14ac:dyDescent="0.25">
      <c r="E25" s="59">
        <v>23</v>
      </c>
      <c r="F25" s="60">
        <v>43141</v>
      </c>
      <c r="G25" s="61">
        <f t="shared" si="4"/>
        <v>3868669.9800000004</v>
      </c>
      <c r="H25" s="62">
        <f t="shared" si="0"/>
        <v>19096.61</v>
      </c>
      <c r="I25" s="62">
        <f t="shared" si="2"/>
        <v>6201.0400000000009</v>
      </c>
      <c r="J25" s="62">
        <f t="shared" si="1"/>
        <v>12895.57</v>
      </c>
      <c r="K25" s="61">
        <f t="shared" si="5"/>
        <v>137531.06000000003</v>
      </c>
      <c r="L25" s="61">
        <f t="shared" si="6"/>
        <v>301690.96999999997</v>
      </c>
      <c r="M25" s="61">
        <f t="shared" si="3"/>
        <v>3862468.9400000004</v>
      </c>
      <c r="O25" s="66" t="s">
        <v>299</v>
      </c>
      <c r="P25" s="72">
        <v>32043</v>
      </c>
    </row>
    <row r="26" spans="1:16" x14ac:dyDescent="0.25">
      <c r="E26" s="59">
        <v>24</v>
      </c>
      <c r="F26" s="60">
        <v>43169</v>
      </c>
      <c r="G26" s="61">
        <f t="shared" si="4"/>
        <v>3862468.9400000004</v>
      </c>
      <c r="H26" s="62">
        <f t="shared" si="0"/>
        <v>19096.61</v>
      </c>
      <c r="I26" s="62">
        <f t="shared" si="2"/>
        <v>6221.7100000000009</v>
      </c>
      <c r="J26" s="62">
        <f t="shared" si="1"/>
        <v>12874.9</v>
      </c>
      <c r="K26" s="61">
        <f t="shared" si="5"/>
        <v>143752.77000000002</v>
      </c>
      <c r="L26" s="61">
        <f t="shared" si="6"/>
        <v>314565.87</v>
      </c>
      <c r="M26" s="61">
        <f t="shared" si="3"/>
        <v>3856247.2300000004</v>
      </c>
      <c r="O26" s="66"/>
      <c r="P26" s="68"/>
    </row>
    <row r="27" spans="1:16" x14ac:dyDescent="0.25">
      <c r="E27" s="59">
        <v>25</v>
      </c>
      <c r="F27" s="60">
        <v>43200</v>
      </c>
      <c r="G27" s="61">
        <f t="shared" si="4"/>
        <v>3856247.2300000004</v>
      </c>
      <c r="H27" s="62">
        <f t="shared" si="0"/>
        <v>19096.61</v>
      </c>
      <c r="I27" s="62">
        <f t="shared" si="2"/>
        <v>6242.4500000000007</v>
      </c>
      <c r="J27" s="62">
        <f t="shared" si="1"/>
        <v>12854.16</v>
      </c>
      <c r="K27" s="61">
        <f t="shared" si="5"/>
        <v>149995.22000000003</v>
      </c>
      <c r="L27" s="61">
        <f t="shared" si="6"/>
        <v>327420.02999999997</v>
      </c>
      <c r="M27" s="61">
        <f t="shared" si="3"/>
        <v>3850004.7800000003</v>
      </c>
      <c r="O27" s="66" t="s">
        <v>303</v>
      </c>
      <c r="P27" s="68"/>
    </row>
    <row r="28" spans="1:16" x14ac:dyDescent="0.25">
      <c r="E28" s="59">
        <v>26</v>
      </c>
      <c r="F28" s="60">
        <v>43230</v>
      </c>
      <c r="G28" s="61">
        <f t="shared" si="4"/>
        <v>3850004.7800000003</v>
      </c>
      <c r="H28" s="62">
        <f t="shared" si="0"/>
        <v>19096.61</v>
      </c>
      <c r="I28" s="62">
        <f t="shared" si="2"/>
        <v>6263.26</v>
      </c>
      <c r="J28" s="62">
        <f t="shared" si="1"/>
        <v>12833.35</v>
      </c>
      <c r="K28" s="61">
        <f t="shared" si="5"/>
        <v>156258.48000000004</v>
      </c>
      <c r="L28" s="61">
        <f t="shared" si="6"/>
        <v>340253.37999999995</v>
      </c>
      <c r="M28" s="61">
        <f t="shared" si="3"/>
        <v>3843741.5200000005</v>
      </c>
      <c r="O28" s="66"/>
      <c r="P28" s="68"/>
    </row>
    <row r="29" spans="1:16" x14ac:dyDescent="0.25">
      <c r="E29" s="59">
        <v>27</v>
      </c>
      <c r="F29" s="60">
        <v>43261</v>
      </c>
      <c r="G29" s="61">
        <f t="shared" si="4"/>
        <v>3843741.5200000005</v>
      </c>
      <c r="H29" s="62">
        <f t="shared" si="0"/>
        <v>19096.61</v>
      </c>
      <c r="I29" s="62">
        <f t="shared" si="2"/>
        <v>6284.1400000000012</v>
      </c>
      <c r="J29" s="62">
        <f t="shared" si="1"/>
        <v>12812.47</v>
      </c>
      <c r="K29" s="61">
        <f t="shared" si="5"/>
        <v>162542.62000000005</v>
      </c>
      <c r="L29" s="61">
        <f t="shared" si="6"/>
        <v>353065.84999999992</v>
      </c>
      <c r="M29" s="61">
        <f t="shared" si="3"/>
        <v>3837457.3800000004</v>
      </c>
      <c r="O29" s="66" t="s">
        <v>306</v>
      </c>
      <c r="P29" s="83">
        <f>P$25/3</f>
        <v>10681</v>
      </c>
    </row>
    <row r="30" spans="1:16" x14ac:dyDescent="0.25">
      <c r="E30" s="59">
        <v>28</v>
      </c>
      <c r="F30" s="60">
        <v>43291</v>
      </c>
      <c r="G30" s="61">
        <f t="shared" si="4"/>
        <v>3837457.3800000004</v>
      </c>
      <c r="H30" s="62">
        <f t="shared" si="0"/>
        <v>19096.61</v>
      </c>
      <c r="I30" s="62">
        <f t="shared" si="2"/>
        <v>6305.09</v>
      </c>
      <c r="J30" s="62">
        <f t="shared" si="1"/>
        <v>12791.52</v>
      </c>
      <c r="K30" s="61">
        <f t="shared" si="5"/>
        <v>168847.71000000005</v>
      </c>
      <c r="L30" s="61">
        <f t="shared" si="6"/>
        <v>365857.36999999994</v>
      </c>
      <c r="M30" s="61">
        <f t="shared" si="3"/>
        <v>3831152.2900000005</v>
      </c>
      <c r="O30" s="66" t="s">
        <v>307</v>
      </c>
      <c r="P30" s="83">
        <f t="shared" ref="P30:P31" si="7">P$25/3</f>
        <v>10681</v>
      </c>
    </row>
    <row r="31" spans="1:16" x14ac:dyDescent="0.25">
      <c r="E31" s="59">
        <v>29</v>
      </c>
      <c r="F31" s="60">
        <v>43322</v>
      </c>
      <c r="G31" s="61">
        <f t="shared" si="4"/>
        <v>3831152.2900000005</v>
      </c>
      <c r="H31" s="62">
        <f t="shared" si="0"/>
        <v>19096.61</v>
      </c>
      <c r="I31" s="62">
        <f t="shared" si="2"/>
        <v>6326.1</v>
      </c>
      <c r="J31" s="62">
        <f t="shared" si="1"/>
        <v>12770.51</v>
      </c>
      <c r="K31" s="61">
        <f t="shared" si="5"/>
        <v>175173.81000000006</v>
      </c>
      <c r="L31" s="61">
        <f t="shared" si="6"/>
        <v>378627.87999999995</v>
      </c>
      <c r="M31" s="61">
        <f t="shared" si="3"/>
        <v>3824826.1900000004</v>
      </c>
      <c r="O31" s="73" t="s">
        <v>312</v>
      </c>
      <c r="P31" s="84">
        <f t="shared" si="7"/>
        <v>10681</v>
      </c>
    </row>
    <row r="32" spans="1:16" x14ac:dyDescent="0.25">
      <c r="E32" s="59">
        <v>30</v>
      </c>
      <c r="F32" s="60">
        <v>43353</v>
      </c>
      <c r="G32" s="61">
        <f t="shared" si="4"/>
        <v>3824826.1900000004</v>
      </c>
      <c r="H32" s="62">
        <f t="shared" si="0"/>
        <v>19096.61</v>
      </c>
      <c r="I32" s="62">
        <f t="shared" si="2"/>
        <v>6347.1900000000005</v>
      </c>
      <c r="J32" s="62">
        <f t="shared" si="1"/>
        <v>12749.42</v>
      </c>
      <c r="K32" s="61">
        <f t="shared" si="5"/>
        <v>181521.00000000006</v>
      </c>
      <c r="L32" s="61">
        <f t="shared" si="6"/>
        <v>391377.29999999993</v>
      </c>
      <c r="M32" s="61">
        <f t="shared" si="3"/>
        <v>3818479.0000000005</v>
      </c>
    </row>
    <row r="33" spans="5:16" x14ac:dyDescent="0.25">
      <c r="E33" s="59">
        <v>31</v>
      </c>
      <c r="F33" s="60">
        <v>43383</v>
      </c>
      <c r="G33" s="61">
        <f t="shared" si="4"/>
        <v>3818479.0000000005</v>
      </c>
      <c r="H33" s="62">
        <f t="shared" si="0"/>
        <v>19096.61</v>
      </c>
      <c r="I33" s="62">
        <f t="shared" si="2"/>
        <v>6368.35</v>
      </c>
      <c r="J33" s="62">
        <f t="shared" si="1"/>
        <v>12728.26</v>
      </c>
      <c r="K33" s="61">
        <f t="shared" si="5"/>
        <v>187889.35000000006</v>
      </c>
      <c r="L33" s="61">
        <f t="shared" si="6"/>
        <v>404105.55999999994</v>
      </c>
      <c r="M33" s="61">
        <f t="shared" si="3"/>
        <v>3812110.6500000004</v>
      </c>
      <c r="O33" s="64" t="s">
        <v>313</v>
      </c>
      <c r="P33" s="65"/>
    </row>
    <row r="34" spans="5:16" x14ac:dyDescent="0.25">
      <c r="E34" s="59">
        <v>32</v>
      </c>
      <c r="F34" s="60">
        <v>43414</v>
      </c>
      <c r="G34" s="61">
        <f t="shared" si="4"/>
        <v>3812110.6500000004</v>
      </c>
      <c r="H34" s="62">
        <f t="shared" si="0"/>
        <v>19096.61</v>
      </c>
      <c r="I34" s="62">
        <f t="shared" si="2"/>
        <v>6389.57</v>
      </c>
      <c r="J34" s="62">
        <f t="shared" si="1"/>
        <v>12707.04</v>
      </c>
      <c r="K34" s="61">
        <f t="shared" si="5"/>
        <v>194278.92000000007</v>
      </c>
      <c r="L34" s="61">
        <f t="shared" si="6"/>
        <v>416812.59999999992</v>
      </c>
      <c r="M34" s="61">
        <f t="shared" si="3"/>
        <v>3805721.0800000005</v>
      </c>
      <c r="O34" s="73" t="s">
        <v>314</v>
      </c>
      <c r="P34" s="74">
        <v>35000</v>
      </c>
    </row>
    <row r="35" spans="5:16" x14ac:dyDescent="0.25">
      <c r="E35" s="59">
        <v>33</v>
      </c>
      <c r="F35" s="60">
        <v>43444</v>
      </c>
      <c r="G35" s="61">
        <f t="shared" si="4"/>
        <v>3805721.0800000005</v>
      </c>
      <c r="H35" s="62">
        <f t="shared" si="0"/>
        <v>19096.61</v>
      </c>
      <c r="I35" s="62">
        <f t="shared" si="2"/>
        <v>6410.8700000000008</v>
      </c>
      <c r="J35" s="62">
        <f t="shared" si="1"/>
        <v>12685.74</v>
      </c>
      <c r="K35" s="61">
        <f t="shared" si="5"/>
        <v>200689.79000000007</v>
      </c>
      <c r="L35" s="61">
        <f t="shared" si="6"/>
        <v>429498.33999999991</v>
      </c>
      <c r="M35" s="61">
        <f t="shared" si="3"/>
        <v>3799310.2100000004</v>
      </c>
    </row>
    <row r="36" spans="5:16" x14ac:dyDescent="0.25">
      <c r="E36" s="59">
        <v>34</v>
      </c>
      <c r="F36" s="60">
        <v>43475</v>
      </c>
      <c r="G36" s="61">
        <f t="shared" si="4"/>
        <v>3799310.2100000004</v>
      </c>
      <c r="H36" s="62">
        <f t="shared" si="0"/>
        <v>19096.61</v>
      </c>
      <c r="I36" s="62">
        <f t="shared" si="2"/>
        <v>6432.24</v>
      </c>
      <c r="J36" s="62">
        <f t="shared" si="1"/>
        <v>12664.37</v>
      </c>
      <c r="K36" s="61">
        <f t="shared" si="5"/>
        <v>207122.03000000006</v>
      </c>
      <c r="L36" s="61">
        <f t="shared" si="6"/>
        <v>442162.7099999999</v>
      </c>
      <c r="M36" s="61">
        <f t="shared" si="3"/>
        <v>3792877.97</v>
      </c>
    </row>
    <row r="37" spans="5:16" x14ac:dyDescent="0.25">
      <c r="E37" s="59">
        <v>35</v>
      </c>
      <c r="F37" s="60">
        <v>43506</v>
      </c>
      <c r="G37" s="61">
        <f t="shared" si="4"/>
        <v>3792877.97</v>
      </c>
      <c r="H37" s="62">
        <f t="shared" si="0"/>
        <v>19096.61</v>
      </c>
      <c r="I37" s="62">
        <f t="shared" si="2"/>
        <v>6453.68</v>
      </c>
      <c r="J37" s="62">
        <f t="shared" si="1"/>
        <v>12642.93</v>
      </c>
      <c r="K37" s="61">
        <f t="shared" si="5"/>
        <v>213575.71000000005</v>
      </c>
      <c r="L37" s="61">
        <f t="shared" si="6"/>
        <v>454805.6399999999</v>
      </c>
      <c r="M37" s="61">
        <f t="shared" si="3"/>
        <v>3786424.29</v>
      </c>
      <c r="P37" s="85"/>
    </row>
    <row r="38" spans="5:16" s="85" customFormat="1" x14ac:dyDescent="0.25">
      <c r="E38" s="80">
        <v>36</v>
      </c>
      <c r="F38" s="86">
        <v>43534</v>
      </c>
      <c r="G38" s="81">
        <f t="shared" si="4"/>
        <v>3786424.29</v>
      </c>
      <c r="H38" s="82">
        <f t="shared" si="0"/>
        <v>19096.61</v>
      </c>
      <c r="I38" s="82">
        <f t="shared" si="2"/>
        <v>6475.2000000000007</v>
      </c>
      <c r="J38" s="82">
        <f t="shared" si="1"/>
        <v>12621.41</v>
      </c>
      <c r="K38" s="81">
        <f t="shared" si="5"/>
        <v>220050.91000000006</v>
      </c>
      <c r="L38" s="81">
        <f t="shared" si="6"/>
        <v>467427.04999999987</v>
      </c>
      <c r="M38" s="81">
        <f t="shared" si="3"/>
        <v>3779949.09</v>
      </c>
      <c r="O38" s="54"/>
      <c r="P38" s="54"/>
    </row>
    <row r="39" spans="5:16" x14ac:dyDescent="0.25">
      <c r="E39" s="59">
        <v>37</v>
      </c>
      <c r="F39" s="60">
        <v>43565</v>
      </c>
      <c r="G39" s="81">
        <f t="shared" si="4"/>
        <v>3779949.09</v>
      </c>
      <c r="H39" s="82">
        <f t="shared" si="0"/>
        <v>19096.61</v>
      </c>
      <c r="I39" s="82">
        <f t="shared" si="2"/>
        <v>6496.7800000000007</v>
      </c>
      <c r="J39" s="82">
        <f t="shared" si="1"/>
        <v>12599.83</v>
      </c>
      <c r="K39" s="81">
        <f t="shared" si="5"/>
        <v>226547.69000000006</v>
      </c>
      <c r="L39" s="81">
        <f t="shared" si="6"/>
        <v>480026.87999999989</v>
      </c>
      <c r="M39" s="81">
        <f t="shared" si="3"/>
        <v>3773452.31</v>
      </c>
    </row>
    <row r="40" spans="5:16" x14ac:dyDescent="0.25">
      <c r="E40" s="59">
        <v>38</v>
      </c>
      <c r="F40" s="60">
        <v>43595</v>
      </c>
      <c r="G40" s="81">
        <f t="shared" si="4"/>
        <v>3773452.31</v>
      </c>
      <c r="H40" s="82">
        <f t="shared" si="0"/>
        <v>19096.61</v>
      </c>
      <c r="I40" s="82">
        <f t="shared" si="2"/>
        <v>6518.4400000000005</v>
      </c>
      <c r="J40" s="82">
        <f t="shared" si="1"/>
        <v>12578.17</v>
      </c>
      <c r="K40" s="81">
        <f t="shared" si="5"/>
        <v>233066.13000000006</v>
      </c>
      <c r="L40" s="81">
        <f t="shared" si="6"/>
        <v>492605.04999999987</v>
      </c>
      <c r="M40" s="81">
        <f t="shared" si="3"/>
        <v>3766933.87</v>
      </c>
      <c r="O40" s="85"/>
    </row>
    <row r="41" spans="5:16" x14ac:dyDescent="0.25">
      <c r="E41" s="59">
        <v>39</v>
      </c>
      <c r="F41" s="60">
        <v>43626</v>
      </c>
      <c r="G41" s="81">
        <f t="shared" si="4"/>
        <v>3766933.87</v>
      </c>
      <c r="H41" s="82">
        <f t="shared" si="0"/>
        <v>19096.61</v>
      </c>
      <c r="I41" s="82">
        <f t="shared" si="2"/>
        <v>6540.16</v>
      </c>
      <c r="J41" s="82">
        <f t="shared" si="1"/>
        <v>12556.45</v>
      </c>
      <c r="K41" s="81">
        <f t="shared" si="5"/>
        <v>239606.29000000007</v>
      </c>
      <c r="L41" s="81">
        <f t="shared" si="6"/>
        <v>505161.49999999988</v>
      </c>
      <c r="M41" s="81">
        <f t="shared" si="3"/>
        <v>3760393.71</v>
      </c>
    </row>
    <row r="42" spans="5:16" x14ac:dyDescent="0.25">
      <c r="E42" s="59">
        <v>40</v>
      </c>
      <c r="F42" s="60">
        <v>43656</v>
      </c>
      <c r="G42" s="81">
        <f t="shared" si="4"/>
        <v>3760393.71</v>
      </c>
      <c r="H42" s="82">
        <f t="shared" si="0"/>
        <v>19096.61</v>
      </c>
      <c r="I42" s="82">
        <f t="shared" si="2"/>
        <v>6561.9600000000009</v>
      </c>
      <c r="J42" s="82">
        <f t="shared" si="1"/>
        <v>12534.65</v>
      </c>
      <c r="K42" s="81">
        <f t="shared" si="5"/>
        <v>246168.25000000006</v>
      </c>
      <c r="L42" s="81">
        <f t="shared" si="6"/>
        <v>517696.14999999991</v>
      </c>
      <c r="M42" s="81">
        <f t="shared" si="3"/>
        <v>3753831.75</v>
      </c>
    </row>
    <row r="43" spans="5:16" x14ac:dyDescent="0.25">
      <c r="E43" s="59">
        <v>41</v>
      </c>
      <c r="F43" s="60">
        <v>43687</v>
      </c>
      <c r="G43" s="81">
        <f t="shared" si="4"/>
        <v>3753831.75</v>
      </c>
      <c r="H43" s="82">
        <f t="shared" si="0"/>
        <v>19096.61</v>
      </c>
      <c r="I43" s="82">
        <f t="shared" si="2"/>
        <v>6583.84</v>
      </c>
      <c r="J43" s="82">
        <f t="shared" si="1"/>
        <v>12512.77</v>
      </c>
      <c r="K43" s="81">
        <f t="shared" si="5"/>
        <v>252752.09000000005</v>
      </c>
      <c r="L43" s="81">
        <f t="shared" si="6"/>
        <v>530208.91999999993</v>
      </c>
      <c r="M43" s="81">
        <f t="shared" si="3"/>
        <v>3747247.91</v>
      </c>
    </row>
    <row r="44" spans="5:16" x14ac:dyDescent="0.25">
      <c r="E44" s="59">
        <v>42</v>
      </c>
      <c r="F44" s="60">
        <v>43718</v>
      </c>
      <c r="G44" s="81">
        <f t="shared" si="4"/>
        <v>3747247.91</v>
      </c>
      <c r="H44" s="82">
        <f t="shared" si="0"/>
        <v>19096.61</v>
      </c>
      <c r="I44" s="82">
        <f t="shared" si="2"/>
        <v>6605.7800000000007</v>
      </c>
      <c r="J44" s="82">
        <f t="shared" si="1"/>
        <v>12490.83</v>
      </c>
      <c r="K44" s="81">
        <f t="shared" si="5"/>
        <v>259357.87000000005</v>
      </c>
      <c r="L44" s="81">
        <f t="shared" si="6"/>
        <v>542699.74999999988</v>
      </c>
      <c r="M44" s="81">
        <f t="shared" si="3"/>
        <v>3740642.1300000004</v>
      </c>
    </row>
    <row r="45" spans="5:16" x14ac:dyDescent="0.25">
      <c r="E45" s="59">
        <v>43</v>
      </c>
      <c r="F45" s="60">
        <v>43748</v>
      </c>
      <c r="G45" s="81">
        <f t="shared" si="4"/>
        <v>3740642.1300000004</v>
      </c>
      <c r="H45" s="82">
        <f t="shared" si="0"/>
        <v>19096.61</v>
      </c>
      <c r="I45" s="82">
        <f t="shared" si="2"/>
        <v>6627.8000000000011</v>
      </c>
      <c r="J45" s="82">
        <f t="shared" si="1"/>
        <v>12468.81</v>
      </c>
      <c r="K45" s="81">
        <f t="shared" si="5"/>
        <v>265985.67000000004</v>
      </c>
      <c r="L45" s="81">
        <f t="shared" si="6"/>
        <v>555168.55999999994</v>
      </c>
      <c r="M45" s="81">
        <f t="shared" si="3"/>
        <v>3734014.3300000005</v>
      </c>
    </row>
    <row r="46" spans="5:16" x14ac:dyDescent="0.25">
      <c r="E46" s="59">
        <v>44</v>
      </c>
      <c r="F46" s="60">
        <v>43779</v>
      </c>
      <c r="G46" s="81">
        <f t="shared" si="4"/>
        <v>3734014.3300000005</v>
      </c>
      <c r="H46" s="82">
        <f t="shared" si="0"/>
        <v>19096.61</v>
      </c>
      <c r="I46" s="82">
        <f t="shared" si="2"/>
        <v>6649.9000000000015</v>
      </c>
      <c r="J46" s="82">
        <f t="shared" si="1"/>
        <v>12446.71</v>
      </c>
      <c r="K46" s="81">
        <f t="shared" si="5"/>
        <v>272635.57000000007</v>
      </c>
      <c r="L46" s="81">
        <f t="shared" si="6"/>
        <v>567615.2699999999</v>
      </c>
      <c r="M46" s="81">
        <f t="shared" si="3"/>
        <v>3727364.4300000006</v>
      </c>
    </row>
    <row r="47" spans="5:16" x14ac:dyDescent="0.25">
      <c r="E47" s="59">
        <v>45</v>
      </c>
      <c r="F47" s="60">
        <v>43809</v>
      </c>
      <c r="G47" s="81">
        <f t="shared" si="4"/>
        <v>3727364.4300000006</v>
      </c>
      <c r="H47" s="82">
        <f t="shared" si="0"/>
        <v>19096.61</v>
      </c>
      <c r="I47" s="82">
        <f t="shared" si="2"/>
        <v>6672.0600000000013</v>
      </c>
      <c r="J47" s="82">
        <f t="shared" si="1"/>
        <v>12424.55</v>
      </c>
      <c r="K47" s="81">
        <f t="shared" si="5"/>
        <v>279307.63000000006</v>
      </c>
      <c r="L47" s="81">
        <f t="shared" si="6"/>
        <v>580039.81999999995</v>
      </c>
      <c r="M47" s="81">
        <f t="shared" si="3"/>
        <v>3720692.3700000006</v>
      </c>
    </row>
    <row r="48" spans="5:16" x14ac:dyDescent="0.25">
      <c r="E48" s="59">
        <v>46</v>
      </c>
      <c r="F48" s="60">
        <v>43840</v>
      </c>
      <c r="G48" s="81">
        <f t="shared" si="4"/>
        <v>3720692.3700000006</v>
      </c>
      <c r="H48" s="82">
        <f t="shared" si="0"/>
        <v>19096.61</v>
      </c>
      <c r="I48" s="82">
        <f t="shared" si="2"/>
        <v>6694.3000000000011</v>
      </c>
      <c r="J48" s="82">
        <f t="shared" si="1"/>
        <v>12402.31</v>
      </c>
      <c r="K48" s="81">
        <f t="shared" si="5"/>
        <v>286001.93000000005</v>
      </c>
      <c r="L48" s="81">
        <f t="shared" si="6"/>
        <v>592442.13</v>
      </c>
      <c r="M48" s="81">
        <f t="shared" si="3"/>
        <v>3713998.0700000008</v>
      </c>
    </row>
    <row r="49" spans="5:13" x14ac:dyDescent="0.25">
      <c r="E49" s="59">
        <v>47</v>
      </c>
      <c r="F49" s="60">
        <v>43871</v>
      </c>
      <c r="G49" s="81">
        <f t="shared" si="4"/>
        <v>3713998.0700000008</v>
      </c>
      <c r="H49" s="82">
        <f t="shared" si="0"/>
        <v>19096.61</v>
      </c>
      <c r="I49" s="82">
        <f t="shared" si="2"/>
        <v>6716.6200000000008</v>
      </c>
      <c r="J49" s="82">
        <f t="shared" si="1"/>
        <v>12379.99</v>
      </c>
      <c r="K49" s="81">
        <f t="shared" si="5"/>
        <v>292718.55000000005</v>
      </c>
      <c r="L49" s="81">
        <f t="shared" si="6"/>
        <v>604822.12</v>
      </c>
      <c r="M49" s="81">
        <f t="shared" si="3"/>
        <v>3707281.4500000007</v>
      </c>
    </row>
    <row r="50" spans="5:13" x14ac:dyDescent="0.25">
      <c r="E50" s="59">
        <v>48</v>
      </c>
      <c r="F50" s="60">
        <v>43900</v>
      </c>
      <c r="G50" s="81">
        <f t="shared" si="4"/>
        <v>3707281.4500000007</v>
      </c>
      <c r="H50" s="82">
        <f t="shared" si="0"/>
        <v>19096.61</v>
      </c>
      <c r="I50" s="82">
        <f t="shared" si="2"/>
        <v>6739.01</v>
      </c>
      <c r="J50" s="82">
        <f t="shared" si="1"/>
        <v>12357.6</v>
      </c>
      <c r="K50" s="81">
        <f t="shared" si="5"/>
        <v>299457.56000000006</v>
      </c>
      <c r="L50" s="81">
        <f t="shared" si="6"/>
        <v>617179.72</v>
      </c>
      <c r="M50" s="81">
        <f t="shared" si="3"/>
        <v>3700542.4400000009</v>
      </c>
    </row>
    <row r="51" spans="5:13" x14ac:dyDescent="0.25">
      <c r="E51" s="59">
        <v>49</v>
      </c>
      <c r="F51" s="60">
        <v>43931</v>
      </c>
      <c r="G51" s="81">
        <f t="shared" si="4"/>
        <v>3700542.4400000009</v>
      </c>
      <c r="H51" s="82">
        <f t="shared" si="0"/>
        <v>19096.61</v>
      </c>
      <c r="I51" s="82">
        <f t="shared" si="2"/>
        <v>6761.4700000000012</v>
      </c>
      <c r="J51" s="82">
        <f t="shared" si="1"/>
        <v>12335.14</v>
      </c>
      <c r="K51" s="81">
        <f t="shared" si="5"/>
        <v>306219.03000000003</v>
      </c>
      <c r="L51" s="81">
        <f t="shared" si="6"/>
        <v>629514.86</v>
      </c>
      <c r="M51" s="81">
        <f t="shared" si="3"/>
        <v>3693780.9700000007</v>
      </c>
    </row>
    <row r="52" spans="5:13" x14ac:dyDescent="0.25">
      <c r="E52" s="59">
        <v>50</v>
      </c>
      <c r="F52" s="60">
        <v>43961</v>
      </c>
      <c r="G52" s="81">
        <f t="shared" si="4"/>
        <v>3693780.9700000007</v>
      </c>
      <c r="H52" s="82">
        <f t="shared" si="0"/>
        <v>19096.61</v>
      </c>
      <c r="I52" s="82">
        <f t="shared" si="2"/>
        <v>6784.01</v>
      </c>
      <c r="J52" s="82">
        <f t="shared" si="1"/>
        <v>12312.6</v>
      </c>
      <c r="K52" s="81">
        <f t="shared" si="5"/>
        <v>313003.04000000004</v>
      </c>
      <c r="L52" s="81">
        <f t="shared" si="6"/>
        <v>641827.46</v>
      </c>
      <c r="M52" s="81">
        <f t="shared" si="3"/>
        <v>3686996.9600000009</v>
      </c>
    </row>
    <row r="53" spans="5:13" x14ac:dyDescent="0.25">
      <c r="E53" s="59">
        <v>51</v>
      </c>
      <c r="F53" s="60">
        <v>43992</v>
      </c>
      <c r="G53" s="81">
        <f t="shared" si="4"/>
        <v>3686996.9600000009</v>
      </c>
      <c r="H53" s="82">
        <f t="shared" si="0"/>
        <v>19096.61</v>
      </c>
      <c r="I53" s="82">
        <f t="shared" si="2"/>
        <v>6806.6200000000008</v>
      </c>
      <c r="J53" s="82">
        <f t="shared" si="1"/>
        <v>12289.99</v>
      </c>
      <c r="K53" s="81">
        <f t="shared" si="5"/>
        <v>319809.66000000003</v>
      </c>
      <c r="L53" s="81">
        <f t="shared" si="6"/>
        <v>654117.44999999995</v>
      </c>
      <c r="M53" s="81">
        <f t="shared" si="3"/>
        <v>3680190.3400000008</v>
      </c>
    </row>
    <row r="54" spans="5:13" x14ac:dyDescent="0.25">
      <c r="E54" s="59">
        <v>52</v>
      </c>
      <c r="F54" s="60">
        <v>44022</v>
      </c>
      <c r="G54" s="81">
        <f t="shared" si="4"/>
        <v>3680190.3400000008</v>
      </c>
      <c r="H54" s="82">
        <f t="shared" si="0"/>
        <v>19096.61</v>
      </c>
      <c r="I54" s="82">
        <f t="shared" si="2"/>
        <v>6829.3100000000013</v>
      </c>
      <c r="J54" s="82">
        <f t="shared" si="1"/>
        <v>12267.3</v>
      </c>
      <c r="K54" s="81">
        <f t="shared" si="5"/>
        <v>326638.97000000003</v>
      </c>
      <c r="L54" s="81">
        <f t="shared" si="6"/>
        <v>666384.75</v>
      </c>
      <c r="M54" s="81">
        <f t="shared" si="3"/>
        <v>3673361.0300000007</v>
      </c>
    </row>
    <row r="55" spans="5:13" x14ac:dyDescent="0.25">
      <c r="E55" s="59">
        <v>53</v>
      </c>
      <c r="F55" s="60">
        <v>44053</v>
      </c>
      <c r="G55" s="81">
        <f t="shared" si="4"/>
        <v>3673361.0300000007</v>
      </c>
      <c r="H55" s="82">
        <f t="shared" si="0"/>
        <v>19096.61</v>
      </c>
      <c r="I55" s="82">
        <f t="shared" si="2"/>
        <v>6852.07</v>
      </c>
      <c r="J55" s="82">
        <f t="shared" si="1"/>
        <v>12244.54</v>
      </c>
      <c r="K55" s="81">
        <f t="shared" si="5"/>
        <v>333491.04000000004</v>
      </c>
      <c r="L55" s="81">
        <f t="shared" si="6"/>
        <v>678629.29</v>
      </c>
      <c r="M55" s="81">
        <f t="shared" si="3"/>
        <v>3666508.9600000009</v>
      </c>
    </row>
    <row r="56" spans="5:13" x14ac:dyDescent="0.25">
      <c r="E56" s="59">
        <v>54</v>
      </c>
      <c r="F56" s="60">
        <v>44084</v>
      </c>
      <c r="G56" s="81">
        <f t="shared" si="4"/>
        <v>3666508.9600000009</v>
      </c>
      <c r="H56" s="82">
        <f t="shared" si="0"/>
        <v>19096.61</v>
      </c>
      <c r="I56" s="82">
        <f t="shared" si="2"/>
        <v>6874.91</v>
      </c>
      <c r="J56" s="82">
        <f t="shared" si="1"/>
        <v>12221.7</v>
      </c>
      <c r="K56" s="81">
        <f t="shared" si="5"/>
        <v>340365.95</v>
      </c>
      <c r="L56" s="81">
        <f t="shared" si="6"/>
        <v>690850.99</v>
      </c>
      <c r="M56" s="81">
        <f t="shared" si="3"/>
        <v>3659634.0500000007</v>
      </c>
    </row>
    <row r="57" spans="5:13" x14ac:dyDescent="0.25">
      <c r="E57" s="59">
        <v>55</v>
      </c>
      <c r="F57" s="60">
        <v>44114</v>
      </c>
      <c r="G57" s="81">
        <f t="shared" si="4"/>
        <v>3659634.0500000007</v>
      </c>
      <c r="H57" s="82">
        <f t="shared" si="0"/>
        <v>19096.61</v>
      </c>
      <c r="I57" s="82">
        <f t="shared" si="2"/>
        <v>6897.83</v>
      </c>
      <c r="J57" s="82">
        <f t="shared" si="1"/>
        <v>12198.78</v>
      </c>
      <c r="K57" s="81">
        <f t="shared" si="5"/>
        <v>347263.78</v>
      </c>
      <c r="L57" s="81">
        <f t="shared" si="6"/>
        <v>703049.77</v>
      </c>
      <c r="M57" s="81">
        <f t="shared" si="3"/>
        <v>3652736.2200000007</v>
      </c>
    </row>
  </sheetData>
  <pageMargins left="0.7" right="0.7" top="0.75" bottom="0.75" header="0.3" footer="0.3"/>
  <pageSetup paperSize="5"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2"/>
  <sheetViews>
    <sheetView zoomScale="80" zoomScaleNormal="80" workbookViewId="0">
      <selection activeCell="K87" sqref="K87:K92"/>
    </sheetView>
  </sheetViews>
  <sheetFormatPr defaultRowHeight="15" x14ac:dyDescent="0.25"/>
  <cols>
    <col min="1" max="1" width="51.140625" style="31" customWidth="1"/>
    <col min="2" max="5" width="13.85546875" style="31" customWidth="1"/>
    <col min="6" max="7" width="9.140625" style="31"/>
    <col min="8" max="8" width="4.28515625" style="31" customWidth="1"/>
    <col min="9" max="9" width="9.140625" style="31" customWidth="1"/>
    <col min="10" max="10" width="20.28515625" style="31" customWidth="1"/>
    <col min="11" max="23" width="13.85546875" style="31" customWidth="1"/>
    <col min="24" max="16384" width="9.140625" style="31"/>
  </cols>
  <sheetData>
    <row r="1" spans="1:23" x14ac:dyDescent="0.25">
      <c r="A1" s="87" t="s">
        <v>315</v>
      </c>
      <c r="B1" s="87"/>
      <c r="K1" s="12" t="s">
        <v>316</v>
      </c>
    </row>
    <row r="2" spans="1:23" x14ac:dyDescent="0.25">
      <c r="A2" s="31" t="s">
        <v>317</v>
      </c>
      <c r="B2" s="88">
        <v>5666.67</v>
      </c>
      <c r="D2" s="89">
        <f>B2*12</f>
        <v>68000.040000000008</v>
      </c>
    </row>
    <row r="3" spans="1:23" x14ac:dyDescent="0.25">
      <c r="A3" s="31" t="s">
        <v>318</v>
      </c>
      <c r="B3" s="88">
        <v>5666.67</v>
      </c>
      <c r="D3" s="89">
        <f t="shared" ref="D3:D12" si="0">B3*12</f>
        <v>68000.040000000008</v>
      </c>
    </row>
    <row r="4" spans="1:23" x14ac:dyDescent="0.25">
      <c r="A4" s="31" t="s">
        <v>319</v>
      </c>
      <c r="B4" s="88">
        <v>5666.67</v>
      </c>
      <c r="D4" s="89">
        <f t="shared" si="0"/>
        <v>68000.040000000008</v>
      </c>
      <c r="K4" s="90">
        <v>42370</v>
      </c>
      <c r="L4" s="90">
        <v>42402</v>
      </c>
      <c r="M4" s="90">
        <v>42434</v>
      </c>
      <c r="N4" s="90">
        <v>42466</v>
      </c>
      <c r="O4" s="90">
        <v>42498</v>
      </c>
      <c r="P4" s="90">
        <v>42530</v>
      </c>
      <c r="Q4" s="90">
        <v>42562</v>
      </c>
      <c r="R4" s="90">
        <v>42594</v>
      </c>
      <c r="S4" s="90">
        <v>42626</v>
      </c>
      <c r="T4" s="90">
        <v>42658</v>
      </c>
      <c r="U4" s="90">
        <v>42690</v>
      </c>
      <c r="V4" s="90">
        <v>42722</v>
      </c>
      <c r="W4" s="91" t="s">
        <v>320</v>
      </c>
    </row>
    <row r="5" spans="1:23" x14ac:dyDescent="0.25">
      <c r="A5" s="31" t="s">
        <v>321</v>
      </c>
      <c r="B5" s="88">
        <v>5666.67</v>
      </c>
      <c r="D5" s="89">
        <f t="shared" si="0"/>
        <v>68000.040000000008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</row>
    <row r="6" spans="1:23" x14ac:dyDescent="0.25">
      <c r="A6" s="31" t="s">
        <v>322</v>
      </c>
      <c r="B6" s="88">
        <v>5666.67</v>
      </c>
      <c r="D6" s="89">
        <f t="shared" si="0"/>
        <v>68000.040000000008</v>
      </c>
    </row>
    <row r="7" spans="1:23" x14ac:dyDescent="0.25">
      <c r="B7" s="88"/>
      <c r="D7" s="89"/>
      <c r="J7" s="31" t="s">
        <v>323</v>
      </c>
      <c r="K7" s="92">
        <v>9137</v>
      </c>
      <c r="L7" s="92"/>
      <c r="M7" s="92"/>
      <c r="N7" s="92">
        <v>9137</v>
      </c>
      <c r="O7" s="92"/>
      <c r="P7" s="92"/>
      <c r="Q7" s="92">
        <v>9137</v>
      </c>
      <c r="R7" s="92"/>
      <c r="S7" s="92"/>
      <c r="T7" s="92"/>
      <c r="U7" s="92"/>
      <c r="V7" s="92"/>
      <c r="W7" s="92">
        <f>SUM(K7:V7)</f>
        <v>27411</v>
      </c>
    </row>
    <row r="8" spans="1:23" x14ac:dyDescent="0.25">
      <c r="A8" s="31" t="s">
        <v>324</v>
      </c>
      <c r="B8" s="88">
        <v>6516.67</v>
      </c>
      <c r="D8" s="89">
        <f t="shared" si="0"/>
        <v>78200.040000000008</v>
      </c>
      <c r="J8" s="31" t="s">
        <v>325</v>
      </c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>
        <f t="shared" ref="W8:W12" si="1">SUM(K8:V8)</f>
        <v>0</v>
      </c>
    </row>
    <row r="9" spans="1:23" x14ac:dyDescent="0.25">
      <c r="A9" s="31" t="s">
        <v>326</v>
      </c>
      <c r="B9" s="88">
        <v>6516.67</v>
      </c>
      <c r="D9" s="89">
        <f t="shared" si="0"/>
        <v>78200.040000000008</v>
      </c>
      <c r="J9" s="31" t="s">
        <v>327</v>
      </c>
      <c r="K9" s="92">
        <v>0</v>
      </c>
      <c r="L9" s="92"/>
      <c r="M9" s="92"/>
      <c r="N9" s="92">
        <v>6282</v>
      </c>
      <c r="O9" s="92"/>
      <c r="P9" s="92"/>
      <c r="Q9" s="92">
        <v>6282</v>
      </c>
      <c r="R9" s="92"/>
      <c r="S9" s="92"/>
      <c r="T9" s="92"/>
      <c r="U9" s="92"/>
      <c r="V9" s="92"/>
      <c r="W9" s="92">
        <f t="shared" si="1"/>
        <v>12564</v>
      </c>
    </row>
    <row r="10" spans="1:23" x14ac:dyDescent="0.25">
      <c r="A10" s="31" t="s">
        <v>328</v>
      </c>
      <c r="B10" s="88">
        <v>6516.67</v>
      </c>
      <c r="D10" s="89">
        <f t="shared" si="0"/>
        <v>78200.040000000008</v>
      </c>
      <c r="J10" s="31" t="s">
        <v>329</v>
      </c>
      <c r="K10" s="92"/>
      <c r="L10" s="92"/>
      <c r="M10" s="92"/>
      <c r="N10" s="92"/>
      <c r="O10" s="92">
        <f>D53</f>
        <v>4204.8355000000001</v>
      </c>
      <c r="P10" s="92"/>
      <c r="Q10" s="92"/>
      <c r="R10" s="92"/>
      <c r="S10" s="92"/>
      <c r="T10" s="92">
        <v>0</v>
      </c>
      <c r="U10" s="92">
        <f>D54</f>
        <v>4204.8355000000001</v>
      </c>
      <c r="V10" s="92"/>
      <c r="W10" s="92">
        <f t="shared" si="1"/>
        <v>8409.6710000000003</v>
      </c>
    </row>
    <row r="11" spans="1:23" x14ac:dyDescent="0.25">
      <c r="A11" s="31" t="s">
        <v>330</v>
      </c>
      <c r="B11" s="88">
        <v>6516.67</v>
      </c>
      <c r="D11" s="89">
        <f t="shared" si="0"/>
        <v>78200.040000000008</v>
      </c>
      <c r="J11" s="31" t="s">
        <v>331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  <c r="P11" s="92">
        <f>D70</f>
        <v>1773.9150025162505</v>
      </c>
      <c r="Q11" s="92">
        <v>0</v>
      </c>
      <c r="R11" s="92">
        <v>0</v>
      </c>
      <c r="S11" s="92"/>
      <c r="T11" s="92">
        <f>D71</f>
        <v>1773.9150025162505</v>
      </c>
      <c r="U11" s="92"/>
      <c r="V11" s="92">
        <f>D72</f>
        <v>1773.9150025162505</v>
      </c>
      <c r="W11" s="92">
        <f t="shared" si="1"/>
        <v>5321.7450075487513</v>
      </c>
    </row>
    <row r="12" spans="1:23" ht="17.25" x14ac:dyDescent="0.4">
      <c r="A12" s="31" t="s">
        <v>332</v>
      </c>
      <c r="B12" s="88">
        <v>6516.67</v>
      </c>
      <c r="D12" s="93">
        <f t="shared" si="0"/>
        <v>78200.040000000008</v>
      </c>
      <c r="J12" s="31" t="s">
        <v>333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  <c r="P12" s="92">
        <v>0</v>
      </c>
      <c r="Q12" s="92">
        <v>0</v>
      </c>
      <c r="R12" s="92">
        <v>0</v>
      </c>
      <c r="S12" s="92">
        <v>0</v>
      </c>
      <c r="T12" s="92">
        <v>0</v>
      </c>
      <c r="U12" s="92">
        <v>0</v>
      </c>
      <c r="V12" s="92">
        <f>D73</f>
        <v>1773.9150025162505</v>
      </c>
      <c r="W12" s="92">
        <f t="shared" si="1"/>
        <v>1773.9150025162505</v>
      </c>
    </row>
    <row r="13" spans="1:23" x14ac:dyDescent="0.25">
      <c r="B13" s="88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</row>
    <row r="14" spans="1:23" x14ac:dyDescent="0.25">
      <c r="A14" s="31" t="s">
        <v>334</v>
      </c>
      <c r="B14" s="88"/>
      <c r="D14" s="89">
        <f>SUM(D2:D12)</f>
        <v>731000.40000000026</v>
      </c>
      <c r="J14" s="31" t="s">
        <v>335</v>
      </c>
      <c r="K14" s="92">
        <f t="shared" ref="K14:W14" si="2">SUM(K7:K12)</f>
        <v>9137</v>
      </c>
      <c r="L14" s="92">
        <f t="shared" si="2"/>
        <v>0</v>
      </c>
      <c r="M14" s="92">
        <f t="shared" si="2"/>
        <v>0</v>
      </c>
      <c r="N14" s="92">
        <f t="shared" si="2"/>
        <v>15419</v>
      </c>
      <c r="O14" s="92">
        <f t="shared" si="2"/>
        <v>4204.8355000000001</v>
      </c>
      <c r="P14" s="92">
        <f t="shared" si="2"/>
        <v>1773.9150025162505</v>
      </c>
      <c r="Q14" s="92">
        <f t="shared" si="2"/>
        <v>15419</v>
      </c>
      <c r="R14" s="92">
        <f t="shared" si="2"/>
        <v>0</v>
      </c>
      <c r="S14" s="92">
        <f t="shared" si="2"/>
        <v>0</v>
      </c>
      <c r="T14" s="92">
        <f t="shared" si="2"/>
        <v>1773.9150025162505</v>
      </c>
      <c r="U14" s="92">
        <f t="shared" si="2"/>
        <v>4204.8355000000001</v>
      </c>
      <c r="V14" s="92">
        <f t="shared" si="2"/>
        <v>3547.830005032501</v>
      </c>
      <c r="W14" s="92">
        <f t="shared" si="2"/>
        <v>55480.331010065005</v>
      </c>
    </row>
    <row r="15" spans="1:23" x14ac:dyDescent="0.25">
      <c r="A15" s="31" t="s">
        <v>336</v>
      </c>
      <c r="B15" s="88"/>
      <c r="D15" s="89">
        <f>D14*0.05</f>
        <v>36550.020000000011</v>
      </c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</row>
    <row r="16" spans="1:23" x14ac:dyDescent="0.25">
      <c r="A16" s="31" t="s">
        <v>337</v>
      </c>
      <c r="B16" s="88"/>
      <c r="D16" s="89">
        <f>D15*0.25</f>
        <v>9137.5050000000028</v>
      </c>
      <c r="E16" s="94">
        <v>42303</v>
      </c>
    </row>
    <row r="17" spans="1:5" x14ac:dyDescent="0.25">
      <c r="A17" s="95" t="s">
        <v>338</v>
      </c>
      <c r="B17" s="88"/>
      <c r="D17" s="89">
        <f>D15*0.25</f>
        <v>9137.5050000000028</v>
      </c>
      <c r="E17" s="94">
        <v>42395</v>
      </c>
    </row>
    <row r="18" spans="1:5" x14ac:dyDescent="0.25">
      <c r="A18" s="31" t="s">
        <v>339</v>
      </c>
      <c r="B18" s="88"/>
      <c r="D18" s="89">
        <f>D15*0.25</f>
        <v>9137.5050000000028</v>
      </c>
      <c r="E18" s="94">
        <v>42486</v>
      </c>
    </row>
    <row r="19" spans="1:5" x14ac:dyDescent="0.25">
      <c r="A19" s="31" t="s">
        <v>340</v>
      </c>
      <c r="B19" s="88"/>
      <c r="D19" s="89">
        <f>D15*0.25</f>
        <v>9137.5050000000028</v>
      </c>
      <c r="E19" s="94">
        <v>42577</v>
      </c>
    </row>
    <row r="20" spans="1:5" x14ac:dyDescent="0.25">
      <c r="B20" s="88"/>
      <c r="D20" s="89"/>
    </row>
    <row r="21" spans="1:5" x14ac:dyDescent="0.25">
      <c r="B21" s="88"/>
      <c r="D21" s="89"/>
    </row>
    <row r="22" spans="1:5" x14ac:dyDescent="0.25">
      <c r="A22" s="239" t="s">
        <v>341</v>
      </c>
      <c r="B22" s="239"/>
      <c r="D22" s="89"/>
    </row>
    <row r="23" spans="1:5" x14ac:dyDescent="0.25">
      <c r="A23" s="239"/>
      <c r="B23" s="239"/>
      <c r="D23" s="89"/>
    </row>
    <row r="24" spans="1:5" x14ac:dyDescent="0.25">
      <c r="A24" s="31" t="s">
        <v>342</v>
      </c>
      <c r="B24" s="88">
        <f>47300*5</f>
        <v>236500</v>
      </c>
      <c r="D24" s="89"/>
    </row>
    <row r="25" spans="1:5" x14ac:dyDescent="0.25">
      <c r="A25" s="31" t="s">
        <v>343</v>
      </c>
      <c r="B25" s="88">
        <f>53212.5*5</f>
        <v>266062.5</v>
      </c>
      <c r="D25" s="89"/>
    </row>
    <row r="26" spans="1:5" ht="15.75" thickBot="1" x14ac:dyDescent="0.3">
      <c r="B26" s="96">
        <f>SUM(B24:B25)</f>
        <v>502562.5</v>
      </c>
      <c r="D26" s="89"/>
    </row>
    <row r="27" spans="1:5" ht="15.75" thickTop="1" x14ac:dyDescent="0.25">
      <c r="B27" s="88"/>
    </row>
    <row r="28" spans="1:5" x14ac:dyDescent="0.25">
      <c r="A28" s="31" t="s">
        <v>344</v>
      </c>
      <c r="B28" s="88">
        <f>B26*5%</f>
        <v>25128.125</v>
      </c>
    </row>
    <row r="29" spans="1:5" x14ac:dyDescent="0.25">
      <c r="B29" s="88"/>
    </row>
    <row r="30" spans="1:5" x14ac:dyDescent="0.25">
      <c r="A30" s="31" t="s">
        <v>345</v>
      </c>
      <c r="B30" s="88">
        <v>12564.06</v>
      </c>
      <c r="E30" s="94">
        <v>42280</v>
      </c>
    </row>
    <row r="31" spans="1:5" x14ac:dyDescent="0.25">
      <c r="A31" s="31" t="s">
        <v>346</v>
      </c>
      <c r="B31" s="88">
        <v>6282.03</v>
      </c>
      <c r="E31" s="94">
        <v>42463</v>
      </c>
    </row>
    <row r="32" spans="1:5" x14ac:dyDescent="0.25">
      <c r="A32" s="31" t="s">
        <v>347</v>
      </c>
      <c r="B32" s="88">
        <v>6282.03</v>
      </c>
      <c r="E32" s="94">
        <v>42554</v>
      </c>
    </row>
    <row r="33" spans="1:8" s="12" customFormat="1" ht="15.75" thickBot="1" x14ac:dyDescent="0.3">
      <c r="A33" s="31"/>
      <c r="B33" s="96">
        <f>SUM(B30:B32)</f>
        <v>25128.12</v>
      </c>
    </row>
    <row r="34" spans="1:8" ht="15.75" thickTop="1" x14ac:dyDescent="0.25"/>
    <row r="35" spans="1:8" x14ac:dyDescent="0.25">
      <c r="A35" s="12" t="s">
        <v>348</v>
      </c>
      <c r="B35" s="12"/>
      <c r="C35" s="12"/>
      <c r="D35" s="12"/>
      <c r="E35" s="12"/>
      <c r="F35" s="12"/>
      <c r="G35" s="12"/>
      <c r="H35" s="12"/>
    </row>
    <row r="36" spans="1:8" s="12" customFormat="1" x14ac:dyDescent="0.25">
      <c r="A36" s="31"/>
      <c r="B36" s="31"/>
      <c r="C36" s="31"/>
      <c r="D36" s="31"/>
      <c r="E36" s="31"/>
      <c r="F36" s="31"/>
      <c r="G36" s="31"/>
      <c r="H36" s="31"/>
    </row>
    <row r="37" spans="1:8" x14ac:dyDescent="0.25">
      <c r="A37" s="31" t="s">
        <v>349</v>
      </c>
      <c r="D37" s="89">
        <v>6282.03</v>
      </c>
      <c r="E37" s="94">
        <v>42280</v>
      </c>
    </row>
    <row r="38" spans="1:8" x14ac:dyDescent="0.25">
      <c r="A38" s="31" t="s">
        <v>350</v>
      </c>
      <c r="D38" s="89">
        <v>6282.03</v>
      </c>
      <c r="E38" s="94">
        <v>42372</v>
      </c>
    </row>
    <row r="39" spans="1:8" x14ac:dyDescent="0.25">
      <c r="A39" s="31" t="s">
        <v>351</v>
      </c>
      <c r="D39" s="89">
        <v>6282.03</v>
      </c>
      <c r="E39" s="94">
        <v>42463</v>
      </c>
    </row>
    <row r="40" spans="1:8" x14ac:dyDescent="0.25">
      <c r="A40" s="31" t="s">
        <v>352</v>
      </c>
      <c r="D40" s="89">
        <v>6282.03</v>
      </c>
      <c r="E40" s="94">
        <v>42554</v>
      </c>
    </row>
    <row r="41" spans="1:8" x14ac:dyDescent="0.25">
      <c r="D41" s="89"/>
      <c r="E41" s="97"/>
    </row>
    <row r="42" spans="1:8" x14ac:dyDescent="0.25">
      <c r="A42" s="12" t="s">
        <v>353</v>
      </c>
      <c r="B42" s="12" t="s">
        <v>354</v>
      </c>
      <c r="C42" s="12"/>
      <c r="D42" s="98"/>
      <c r="E42" s="99"/>
      <c r="F42" s="12"/>
      <c r="G42" s="12"/>
      <c r="H42" s="12"/>
    </row>
    <row r="43" spans="1:8" x14ac:dyDescent="0.25">
      <c r="D43" s="89"/>
      <c r="E43" s="97"/>
    </row>
    <row r="44" spans="1:8" x14ac:dyDescent="0.25">
      <c r="A44" s="31" t="s">
        <v>355</v>
      </c>
      <c r="B44" s="88">
        <v>31680</v>
      </c>
    </row>
    <row r="45" spans="1:8" x14ac:dyDescent="0.25">
      <c r="A45" s="31" t="s">
        <v>356</v>
      </c>
      <c r="B45" s="88">
        <v>32630.400000000001</v>
      </c>
    </row>
    <row r="46" spans="1:8" x14ac:dyDescent="0.25">
      <c r="A46" s="31" t="s">
        <v>357</v>
      </c>
      <c r="B46" s="88">
        <v>33609.31</v>
      </c>
    </row>
    <row r="47" spans="1:8" x14ac:dyDescent="0.25">
      <c r="A47" s="31" t="s">
        <v>358</v>
      </c>
      <c r="B47" s="88">
        <v>34617.589999999997</v>
      </c>
    </row>
    <row r="48" spans="1:8" ht="17.25" x14ac:dyDescent="0.4">
      <c r="A48" s="31" t="s">
        <v>359</v>
      </c>
      <c r="B48" s="100">
        <v>35656.120000000003</v>
      </c>
      <c r="D48" s="89"/>
      <c r="E48" s="94"/>
    </row>
    <row r="49" spans="1:14" x14ac:dyDescent="0.25">
      <c r="A49" s="31" t="s">
        <v>167</v>
      </c>
      <c r="B49" s="88">
        <f>SUM(B44:B48)</f>
        <v>168193.41999999998</v>
      </c>
      <c r="D49" s="89"/>
      <c r="E49" s="94"/>
    </row>
    <row r="51" spans="1:14" x14ac:dyDescent="0.25">
      <c r="A51" s="31" t="s">
        <v>360</v>
      </c>
      <c r="B51" s="89">
        <f>B49*0.05</f>
        <v>8409.6710000000003</v>
      </c>
    </row>
    <row r="53" spans="1:14" x14ac:dyDescent="0.25">
      <c r="A53" s="31" t="s">
        <v>361</v>
      </c>
      <c r="D53" s="89">
        <f>B$51/2</f>
        <v>4204.8355000000001</v>
      </c>
      <c r="E53" s="94">
        <v>42507</v>
      </c>
      <c r="F53" s="31" t="s">
        <v>362</v>
      </c>
      <c r="M53" s="97"/>
      <c r="N53" s="97"/>
    </row>
    <row r="54" spans="1:14" x14ac:dyDescent="0.25">
      <c r="A54" s="31" t="s">
        <v>363</v>
      </c>
      <c r="D54" s="89">
        <f>B$51/2</f>
        <v>4204.8355000000001</v>
      </c>
      <c r="E54" s="94">
        <v>42690</v>
      </c>
      <c r="F54" s="31" t="s">
        <v>362</v>
      </c>
      <c r="M54" s="101"/>
    </row>
    <row r="55" spans="1:14" x14ac:dyDescent="0.25">
      <c r="M55" s="101"/>
    </row>
    <row r="56" spans="1:14" x14ac:dyDescent="0.25">
      <c r="A56" s="12" t="s">
        <v>364</v>
      </c>
      <c r="M56" s="101"/>
    </row>
    <row r="57" spans="1:14" x14ac:dyDescent="0.25">
      <c r="M57" s="101"/>
    </row>
    <row r="58" spans="1:14" x14ac:dyDescent="0.25">
      <c r="A58" s="31" t="s">
        <v>365</v>
      </c>
      <c r="B58" s="31">
        <v>1215</v>
      </c>
      <c r="M58" s="101"/>
    </row>
    <row r="59" spans="1:14" x14ac:dyDescent="0.25">
      <c r="A59" s="31" t="s">
        <v>366</v>
      </c>
      <c r="B59" s="88">
        <v>22</v>
      </c>
      <c r="M59" s="101"/>
      <c r="N59" s="101"/>
    </row>
    <row r="61" spans="1:14" x14ac:dyDescent="0.25">
      <c r="A61" s="31" t="s">
        <v>355</v>
      </c>
      <c r="B61" s="88">
        <f>B58*B59</f>
        <v>26730</v>
      </c>
    </row>
    <row r="62" spans="1:14" x14ac:dyDescent="0.25">
      <c r="A62" s="31" t="s">
        <v>356</v>
      </c>
      <c r="B62" s="88">
        <f>B61*1.03</f>
        <v>27531.9</v>
      </c>
    </row>
    <row r="63" spans="1:14" x14ac:dyDescent="0.25">
      <c r="A63" s="31" t="s">
        <v>357</v>
      </c>
      <c r="B63" s="88">
        <f t="shared" ref="B63:B65" si="3">B62*1.03</f>
        <v>28357.857000000004</v>
      </c>
    </row>
    <row r="64" spans="1:14" x14ac:dyDescent="0.25">
      <c r="A64" s="31" t="s">
        <v>358</v>
      </c>
      <c r="B64" s="88">
        <f t="shared" si="3"/>
        <v>29208.592710000004</v>
      </c>
    </row>
    <row r="65" spans="1:11" ht="17.25" x14ac:dyDescent="0.4">
      <c r="A65" s="31" t="s">
        <v>359</v>
      </c>
      <c r="B65" s="100">
        <f t="shared" si="3"/>
        <v>30084.850491300007</v>
      </c>
      <c r="D65" s="89"/>
      <c r="E65" s="94"/>
    </row>
    <row r="66" spans="1:11" x14ac:dyDescent="0.25">
      <c r="A66" s="31" t="s">
        <v>167</v>
      </c>
      <c r="B66" s="88">
        <f>SUM(B61:B65)</f>
        <v>141913.20020130003</v>
      </c>
      <c r="D66" s="89"/>
      <c r="E66" s="94"/>
    </row>
    <row r="68" spans="1:11" x14ac:dyDescent="0.25">
      <c r="A68" s="31" t="s">
        <v>360</v>
      </c>
      <c r="B68" s="89">
        <f>B66*0.05</f>
        <v>7095.6600100650021</v>
      </c>
    </row>
    <row r="70" spans="1:11" x14ac:dyDescent="0.25">
      <c r="A70" s="31" t="s">
        <v>367</v>
      </c>
      <c r="D70" s="89">
        <f>B$68/4</f>
        <v>1773.9150025162505</v>
      </c>
      <c r="E70" s="94">
        <v>42673</v>
      </c>
      <c r="F70" s="31" t="s">
        <v>362</v>
      </c>
      <c r="J70" s="97"/>
      <c r="K70" s="97"/>
    </row>
    <row r="71" spans="1:11" x14ac:dyDescent="0.25">
      <c r="A71" s="31" t="s">
        <v>368</v>
      </c>
      <c r="D71" s="89">
        <f t="shared" ref="D71:D73" si="4">B$68/4</f>
        <v>1773.9150025162505</v>
      </c>
      <c r="E71" s="94">
        <f>E70+45</f>
        <v>42718</v>
      </c>
      <c r="F71" s="31" t="s">
        <v>362</v>
      </c>
      <c r="K71" s="97"/>
    </row>
    <row r="72" spans="1:11" x14ac:dyDescent="0.25">
      <c r="A72" s="31" t="s">
        <v>369</v>
      </c>
      <c r="D72" s="89">
        <f t="shared" si="4"/>
        <v>1773.9150025162505</v>
      </c>
      <c r="E72" s="94">
        <f>E71+45</f>
        <v>42763</v>
      </c>
      <c r="F72" s="31" t="s">
        <v>362</v>
      </c>
      <c r="K72" s="97"/>
    </row>
    <row r="73" spans="1:11" x14ac:dyDescent="0.25">
      <c r="A73" s="31" t="s">
        <v>370</v>
      </c>
      <c r="D73" s="89">
        <f t="shared" si="4"/>
        <v>1773.9150025162505</v>
      </c>
      <c r="E73" s="94">
        <f>E72+45</f>
        <v>42808</v>
      </c>
      <c r="F73" s="31" t="s">
        <v>362</v>
      </c>
      <c r="K73" s="97"/>
    </row>
    <row r="75" spans="1:11" x14ac:dyDescent="0.25">
      <c r="A75" s="12" t="s">
        <v>371</v>
      </c>
      <c r="B75" s="12" t="s">
        <v>372</v>
      </c>
      <c r="C75" s="12"/>
      <c r="D75" s="98"/>
      <c r="E75" s="99"/>
      <c r="F75" s="12"/>
      <c r="G75" s="12"/>
      <c r="H75" s="12"/>
    </row>
    <row r="76" spans="1:11" x14ac:dyDescent="0.25">
      <c r="D76" s="89"/>
      <c r="E76" s="97"/>
    </row>
    <row r="77" spans="1:11" x14ac:dyDescent="0.25">
      <c r="A77" s="31" t="s">
        <v>365</v>
      </c>
      <c r="B77" s="31">
        <v>1215</v>
      </c>
    </row>
    <row r="78" spans="1:11" x14ac:dyDescent="0.25">
      <c r="A78" s="31" t="s">
        <v>366</v>
      </c>
      <c r="B78" s="88">
        <v>22</v>
      </c>
    </row>
    <row r="80" spans="1:11" x14ac:dyDescent="0.25">
      <c r="A80" s="31" t="s">
        <v>355</v>
      </c>
      <c r="B80" s="88">
        <f>B77*B78</f>
        <v>26730</v>
      </c>
      <c r="C80" s="89"/>
    </row>
    <row r="81" spans="1:11" x14ac:dyDescent="0.25">
      <c r="A81" s="31" t="s">
        <v>356</v>
      </c>
      <c r="B81" s="88">
        <f>B80*1.03</f>
        <v>27531.9</v>
      </c>
    </row>
    <row r="82" spans="1:11" x14ac:dyDescent="0.25">
      <c r="A82" s="31" t="s">
        <v>357</v>
      </c>
      <c r="B82" s="88">
        <f t="shared" ref="B82:B84" si="5">B81*1.03</f>
        <v>28357.857000000004</v>
      </c>
    </row>
    <row r="83" spans="1:11" x14ac:dyDescent="0.25">
      <c r="A83" s="31" t="s">
        <v>358</v>
      </c>
      <c r="B83" s="88">
        <f t="shared" si="5"/>
        <v>29208.592710000004</v>
      </c>
    </row>
    <row r="84" spans="1:11" ht="17.25" x14ac:dyDescent="0.4">
      <c r="A84" s="31" t="s">
        <v>359</v>
      </c>
      <c r="B84" s="100">
        <f t="shared" si="5"/>
        <v>30084.850491300007</v>
      </c>
      <c r="D84" s="89"/>
      <c r="E84" s="94"/>
    </row>
    <row r="85" spans="1:11" x14ac:dyDescent="0.25">
      <c r="A85" s="31" t="s">
        <v>167</v>
      </c>
      <c r="B85" s="88">
        <f>SUM(B80:B84)</f>
        <v>141913.20020130003</v>
      </c>
      <c r="D85" s="89"/>
      <c r="E85" s="94"/>
    </row>
    <row r="87" spans="1:11" x14ac:dyDescent="0.25">
      <c r="A87" s="31" t="s">
        <v>360</v>
      </c>
      <c r="B87" s="89">
        <f>B85*0.05</f>
        <v>7095.6600100650021</v>
      </c>
    </row>
    <row r="89" spans="1:11" x14ac:dyDescent="0.25">
      <c r="A89" s="31" t="s">
        <v>367</v>
      </c>
      <c r="D89" s="89">
        <f>B$87/4</f>
        <v>1773.9150025162505</v>
      </c>
      <c r="E89" s="94">
        <v>42720</v>
      </c>
      <c r="F89" s="31" t="s">
        <v>362</v>
      </c>
      <c r="K89" s="101"/>
    </row>
    <row r="90" spans="1:11" x14ac:dyDescent="0.25">
      <c r="A90" s="31" t="s">
        <v>368</v>
      </c>
      <c r="D90" s="89">
        <f t="shared" ref="D90:D92" si="6">B$87/4</f>
        <v>1773.9150025162505</v>
      </c>
      <c r="E90" s="94">
        <f>E89+45</f>
        <v>42765</v>
      </c>
      <c r="F90" s="31" t="s">
        <v>362</v>
      </c>
      <c r="K90" s="101"/>
    </row>
    <row r="91" spans="1:11" x14ac:dyDescent="0.25">
      <c r="A91" s="31" t="s">
        <v>369</v>
      </c>
      <c r="D91" s="89">
        <f t="shared" si="6"/>
        <v>1773.9150025162505</v>
      </c>
      <c r="E91" s="94">
        <f>E90+45</f>
        <v>42810</v>
      </c>
      <c r="F91" s="31" t="s">
        <v>362</v>
      </c>
    </row>
    <row r="92" spans="1:11" x14ac:dyDescent="0.25">
      <c r="A92" s="31" t="s">
        <v>370</v>
      </c>
      <c r="D92" s="89">
        <f t="shared" si="6"/>
        <v>1773.9150025162505</v>
      </c>
      <c r="E92" s="94">
        <f>E91+45</f>
        <v>42855</v>
      </c>
      <c r="F92" s="31" t="s">
        <v>362</v>
      </c>
    </row>
  </sheetData>
  <mergeCells count="1">
    <mergeCell ref="A22:B23"/>
  </mergeCells>
  <pageMargins left="0.7" right="0.7" top="0.75" bottom="0.75" header="0.3" footer="0.3"/>
  <pageSetup scale="36" orientation="landscape" r:id="rId1"/>
  <rowBreaks count="1" manualBreakCount="1">
    <brk id="4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80" zoomScaleNormal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48" sqref="E48:P48"/>
    </sheetView>
  </sheetViews>
  <sheetFormatPr defaultRowHeight="15" x14ac:dyDescent="0.25"/>
  <cols>
    <col min="1" max="1" width="48.85546875" style="18" customWidth="1"/>
    <col min="2" max="2" width="9.140625" style="13"/>
    <col min="3" max="3" width="13.140625" style="13" bestFit="1" customWidth="1"/>
    <col min="4" max="4" width="13.140625" style="14" customWidth="1"/>
    <col min="5" max="15" width="11.7109375" style="15" bestFit="1" customWidth="1"/>
    <col min="16" max="16" width="13.7109375" style="15" bestFit="1" customWidth="1"/>
    <col min="17" max="17" width="13.7109375" style="16" bestFit="1" customWidth="1"/>
    <col min="18" max="18" width="13.7109375" style="17" bestFit="1" customWidth="1"/>
    <col min="19" max="19" width="9.140625" style="15"/>
    <col min="20" max="20" width="65.28515625" style="18" customWidth="1"/>
    <col min="21" max="16384" width="9.140625" style="18"/>
  </cols>
  <sheetData>
    <row r="1" spans="1:20" x14ac:dyDescent="0.25">
      <c r="A1" s="12" t="s">
        <v>202</v>
      </c>
    </row>
    <row r="3" spans="1:20" s="19" customFormat="1" x14ac:dyDescent="0.25">
      <c r="D3" s="20" t="s">
        <v>203</v>
      </c>
      <c r="E3" s="21">
        <v>42370</v>
      </c>
      <c r="F3" s="21">
        <v>42401</v>
      </c>
      <c r="G3" s="21">
        <v>42430</v>
      </c>
      <c r="H3" s="21">
        <v>42461</v>
      </c>
      <c r="I3" s="21">
        <v>42491</v>
      </c>
      <c r="J3" s="21">
        <v>42522</v>
      </c>
      <c r="K3" s="21">
        <v>42552</v>
      </c>
      <c r="L3" s="21">
        <v>42583</v>
      </c>
      <c r="M3" s="21">
        <v>42614</v>
      </c>
      <c r="N3" s="21">
        <v>42644</v>
      </c>
      <c r="O3" s="21">
        <v>42675</v>
      </c>
      <c r="P3" s="21">
        <v>42705</v>
      </c>
      <c r="Q3" s="22" t="s">
        <v>204</v>
      </c>
      <c r="R3" s="23">
        <v>2015</v>
      </c>
      <c r="S3" s="21" t="s">
        <v>0</v>
      </c>
      <c r="T3" s="19" t="s">
        <v>205</v>
      </c>
    </row>
    <row r="4" spans="1:20" s="30" customFormat="1" x14ac:dyDescent="0.25">
      <c r="A4" s="24" t="s">
        <v>206</v>
      </c>
      <c r="B4" s="25" t="s">
        <v>207</v>
      </c>
      <c r="C4" s="25" t="s">
        <v>5</v>
      </c>
      <c r="D4" s="26"/>
      <c r="E4" s="27">
        <f>'[1]Min Rent 2016'!E16</f>
        <v>25525</v>
      </c>
      <c r="F4" s="27">
        <f>'[1]Min Rent 2016'!F16</f>
        <v>25525</v>
      </c>
      <c r="G4" s="27">
        <f>'[1]Min Rent 2016'!G16</f>
        <v>25525</v>
      </c>
      <c r="H4" s="27">
        <f>'[1]Min Rent 2016'!H16</f>
        <v>25525</v>
      </c>
      <c r="I4" s="27">
        <f>'[1]Min Rent 2016'!I16</f>
        <v>26717.258064516129</v>
      </c>
      <c r="J4" s="27">
        <f>'[1]Min Rent 2016'!J16</f>
        <v>28165</v>
      </c>
      <c r="K4" s="27">
        <f>'[1]Min Rent 2016'!K16</f>
        <v>29515</v>
      </c>
      <c r="L4" s="27">
        <f>'[1]Min Rent 2016'!L16</f>
        <v>29515</v>
      </c>
      <c r="M4" s="27">
        <f>'[1]Min Rent 2016'!M16</f>
        <v>30628.75</v>
      </c>
      <c r="N4" s="27">
        <f>'[1]Min Rent 2016'!N16</f>
        <v>31742.5</v>
      </c>
      <c r="O4" s="27">
        <f>'[1]Min Rent 2016'!O16</f>
        <v>33970</v>
      </c>
      <c r="P4" s="27">
        <f>'[1]Min Rent 2016'!P16</f>
        <v>33970</v>
      </c>
      <c r="Q4" s="28">
        <f>SUM(E4:P4)</f>
        <v>346323.50806451612</v>
      </c>
      <c r="R4" s="29"/>
      <c r="S4" s="27"/>
    </row>
    <row r="5" spans="1:20" x14ac:dyDescent="0.25">
      <c r="A5" s="31" t="s">
        <v>208</v>
      </c>
      <c r="B5" s="32" t="s">
        <v>207</v>
      </c>
      <c r="C5" s="32" t="s">
        <v>15</v>
      </c>
      <c r="D5" s="33"/>
      <c r="E5" s="15">
        <f>'[1]CAM 2016'!E16</f>
        <v>2145</v>
      </c>
      <c r="F5" s="15">
        <f>'[1]CAM 2016'!F16</f>
        <v>2145</v>
      </c>
      <c r="G5" s="15">
        <f>'[1]CAM 2016'!G16</f>
        <v>2145</v>
      </c>
      <c r="H5" s="15">
        <f>'[1]CAM 2016'!H16</f>
        <v>2145</v>
      </c>
      <c r="I5" s="15">
        <f>'[1]CAM 2016'!I16</f>
        <v>2300.3548387096776</v>
      </c>
      <c r="J5" s="15">
        <f>'[1]CAM 2016'!J16</f>
        <v>2489</v>
      </c>
      <c r="K5" s="15">
        <f>'[1]CAM 2016'!K16</f>
        <v>2489</v>
      </c>
      <c r="L5" s="15">
        <f>'[1]CAM 2016'!L16</f>
        <v>2489</v>
      </c>
      <c r="M5" s="15">
        <f>'[1]CAM 2016'!M16</f>
        <v>2646</v>
      </c>
      <c r="N5" s="15">
        <f>'[1]CAM 2016'!N16</f>
        <v>2803</v>
      </c>
      <c r="O5" s="15">
        <f>'[1]CAM 2016'!O16</f>
        <v>3117</v>
      </c>
      <c r="P5" s="15">
        <f>'[1]CAM 2016'!P16</f>
        <v>3117</v>
      </c>
      <c r="Q5" s="16">
        <f t="shared" ref="Q5:Q8" si="0">SUM(E5:P5)</f>
        <v>30030.354838709678</v>
      </c>
    </row>
    <row r="6" spans="1:20" s="30" customFormat="1" x14ac:dyDescent="0.25">
      <c r="A6" s="24" t="s">
        <v>209</v>
      </c>
      <c r="B6" s="25" t="s">
        <v>207</v>
      </c>
      <c r="C6" s="25" t="s">
        <v>19</v>
      </c>
      <c r="D6" s="26"/>
      <c r="E6" s="27">
        <f>'[1]RETaxes 2016'!E16</f>
        <v>6007</v>
      </c>
      <c r="F6" s="27">
        <f>'[1]RETaxes 2016'!F16</f>
        <v>6007</v>
      </c>
      <c r="G6" s="27">
        <f>'[1]RETaxes 2016'!G16</f>
        <v>6007</v>
      </c>
      <c r="H6" s="27">
        <f>'[1]RETaxes 2016'!H16</f>
        <v>6007</v>
      </c>
      <c r="I6" s="27">
        <f>'[1]RETaxes 2016'!I16</f>
        <v>6200.7419354838712</v>
      </c>
      <c r="J6" s="27">
        <f>'[1]RETaxes 2016'!J16</f>
        <v>6436</v>
      </c>
      <c r="K6" s="27">
        <f>'[1]RETaxes 2016'!K16</f>
        <v>6436</v>
      </c>
      <c r="L6" s="27">
        <f>'[1]RETaxes 2016'!L16</f>
        <v>6436</v>
      </c>
      <c r="M6" s="27">
        <f>'[1]RETaxes 2016'!M16</f>
        <v>6632</v>
      </c>
      <c r="N6" s="27">
        <f>'[1]RETaxes 2016'!N16</f>
        <v>6828</v>
      </c>
      <c r="O6" s="27">
        <f>'[1]RETaxes 2016'!O16</f>
        <v>7220</v>
      </c>
      <c r="P6" s="27">
        <f>'[1]RETaxes 2016'!P16</f>
        <v>7220</v>
      </c>
      <c r="Q6" s="28">
        <f t="shared" si="0"/>
        <v>77436.741935483878</v>
      </c>
      <c r="R6" s="29"/>
      <c r="S6" s="27"/>
    </row>
    <row r="7" spans="1:20" x14ac:dyDescent="0.25">
      <c r="A7" s="31" t="s">
        <v>210</v>
      </c>
      <c r="B7" s="32" t="s">
        <v>207</v>
      </c>
      <c r="C7" s="32" t="s">
        <v>17</v>
      </c>
      <c r="D7" s="33"/>
      <c r="E7" s="15">
        <f>'[1]Ins 2016'!D16</f>
        <v>390</v>
      </c>
      <c r="F7" s="15">
        <f>'[1]Ins 2016'!E16</f>
        <v>390</v>
      </c>
      <c r="G7" s="15">
        <f>'[1]Ins 2016'!F16</f>
        <v>390</v>
      </c>
      <c r="H7" s="15">
        <f>'[1]Ins 2016'!G16</f>
        <v>390</v>
      </c>
      <c r="I7" s="15">
        <f>'[1]Ins 2016'!H16</f>
        <v>390</v>
      </c>
      <c r="J7" s="15">
        <f>'[1]Ins 2016'!I16</f>
        <v>390</v>
      </c>
      <c r="K7" s="15">
        <f>'[1]Ins 2016'!J16</f>
        <v>390</v>
      </c>
      <c r="L7" s="15">
        <f>'[1]Ins 2016'!K16</f>
        <v>390</v>
      </c>
      <c r="M7" s="15">
        <f>'[1]Ins 2016'!L16</f>
        <v>390</v>
      </c>
      <c r="N7" s="15">
        <f>'[1]Ins 2016'!M16</f>
        <v>390</v>
      </c>
      <c r="O7" s="15">
        <f>'[1]Ins 2016'!N16</f>
        <v>390</v>
      </c>
      <c r="P7" s="15">
        <f>'[1]Ins 2016'!O16</f>
        <v>390</v>
      </c>
      <c r="Q7" s="16">
        <f t="shared" si="0"/>
        <v>4680</v>
      </c>
    </row>
    <row r="8" spans="1:20" s="30" customFormat="1" x14ac:dyDescent="0.25">
      <c r="A8" s="24" t="s">
        <v>211</v>
      </c>
      <c r="B8" s="25" t="s">
        <v>207</v>
      </c>
      <c r="C8" s="25" t="s">
        <v>212</v>
      </c>
      <c r="D8" s="26"/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8">
        <f t="shared" si="0"/>
        <v>0</v>
      </c>
      <c r="R8" s="29"/>
      <c r="S8" s="27"/>
    </row>
    <row r="10" spans="1:20" s="34" customFormat="1" x14ac:dyDescent="0.25">
      <c r="A10" s="34" t="s">
        <v>213</v>
      </c>
      <c r="B10" s="35"/>
      <c r="C10" s="35"/>
      <c r="D10" s="36"/>
      <c r="E10" s="37">
        <f>SUM(E4:E9)</f>
        <v>34067</v>
      </c>
      <c r="F10" s="37">
        <f t="shared" ref="F10:P10" si="1">SUM(F4:F9)</f>
        <v>34067</v>
      </c>
      <c r="G10" s="37">
        <f t="shared" si="1"/>
        <v>34067</v>
      </c>
      <c r="H10" s="37">
        <f t="shared" si="1"/>
        <v>34067</v>
      </c>
      <c r="I10" s="37">
        <f t="shared" si="1"/>
        <v>35608.354838709682</v>
      </c>
      <c r="J10" s="37">
        <f t="shared" si="1"/>
        <v>37480</v>
      </c>
      <c r="K10" s="37">
        <f t="shared" si="1"/>
        <v>38830</v>
      </c>
      <c r="L10" s="37">
        <f t="shared" si="1"/>
        <v>38830</v>
      </c>
      <c r="M10" s="37">
        <f t="shared" si="1"/>
        <v>40296.75</v>
      </c>
      <c r="N10" s="37">
        <f t="shared" si="1"/>
        <v>41763.5</v>
      </c>
      <c r="O10" s="37">
        <f t="shared" si="1"/>
        <v>44697</v>
      </c>
      <c r="P10" s="37">
        <f t="shared" si="1"/>
        <v>44697</v>
      </c>
      <c r="Q10" s="38">
        <f>SUM(E10:P10)</f>
        <v>458470.6048387097</v>
      </c>
      <c r="R10" s="39"/>
      <c r="S10" s="37"/>
    </row>
    <row r="12" spans="1:20" s="45" customFormat="1" x14ac:dyDescent="0.25">
      <c r="A12" s="34" t="s">
        <v>214</v>
      </c>
      <c r="B12" s="40"/>
      <c r="C12" s="40"/>
      <c r="D12" s="41"/>
      <c r="E12" s="42">
        <v>0</v>
      </c>
      <c r="F12" s="42">
        <v>0</v>
      </c>
      <c r="G12" s="42">
        <v>300000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3">
        <f>SUM(E12:P12)</f>
        <v>300000</v>
      </c>
      <c r="R12" s="44"/>
      <c r="S12" s="42"/>
    </row>
    <row r="14" spans="1:20" s="30" customFormat="1" x14ac:dyDescent="0.25">
      <c r="A14" s="46" t="s">
        <v>215</v>
      </c>
      <c r="B14" s="46" t="s">
        <v>216</v>
      </c>
      <c r="C14" s="46" t="s">
        <v>217</v>
      </c>
      <c r="D14" s="4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8"/>
      <c r="R14" s="29"/>
      <c r="S14" s="27"/>
    </row>
    <row r="15" spans="1:20" x14ac:dyDescent="0.25">
      <c r="A15" s="18" t="s">
        <v>168</v>
      </c>
      <c r="B15" s="13" t="s">
        <v>207</v>
      </c>
      <c r="C15" s="13" t="s">
        <v>196</v>
      </c>
      <c r="D15" s="14">
        <v>0</v>
      </c>
      <c r="E15" s="15">
        <f>$D15</f>
        <v>0</v>
      </c>
      <c r="F15" s="15">
        <f t="shared" ref="F15:G15" si="2">$D15</f>
        <v>0</v>
      </c>
      <c r="G15" s="15">
        <f t="shared" si="2"/>
        <v>0</v>
      </c>
      <c r="H15" s="15">
        <v>597</v>
      </c>
      <c r="I15" s="15">
        <v>597</v>
      </c>
      <c r="J15" s="15">
        <v>597</v>
      </c>
      <c r="K15" s="15">
        <v>597</v>
      </c>
      <c r="L15" s="15">
        <v>597</v>
      </c>
      <c r="M15" s="15">
        <v>597</v>
      </c>
      <c r="N15" s="15">
        <v>597</v>
      </c>
      <c r="O15" s="15">
        <v>550</v>
      </c>
      <c r="P15" s="15">
        <v>550</v>
      </c>
      <c r="Q15" s="16">
        <f>SUM(E15:P15)</f>
        <v>5279</v>
      </c>
      <c r="R15" s="17">
        <f>'[1]Op Budget 2015'!Q13</f>
        <v>588.5</v>
      </c>
    </row>
    <row r="16" spans="1:20" s="30" customFormat="1" x14ac:dyDescent="0.25">
      <c r="A16" s="30" t="s">
        <v>218</v>
      </c>
      <c r="B16" s="48" t="s">
        <v>207</v>
      </c>
      <c r="C16" s="48" t="s">
        <v>45</v>
      </c>
      <c r="D16" s="49">
        <v>300</v>
      </c>
      <c r="E16" s="27">
        <f>$D16*(1+[1]Assumptions!$B$3)</f>
        <v>304.46999999999997</v>
      </c>
      <c r="F16" s="27">
        <f>$D16*(1+[1]Assumptions!$B$3)</f>
        <v>304.46999999999997</v>
      </c>
      <c r="G16" s="27">
        <f>$D16*(1+[1]Assumptions!$B$3)</f>
        <v>304.46999999999997</v>
      </c>
      <c r="H16" s="27">
        <f>$D16*(1+[1]Assumptions!$B$3)</f>
        <v>304.46999999999997</v>
      </c>
      <c r="I16" s="27">
        <f>$D16*(1+[1]Assumptions!$B$3)</f>
        <v>304.46999999999997</v>
      </c>
      <c r="J16" s="27">
        <f>$D16*(1+[1]Assumptions!$B$3)</f>
        <v>304.46999999999997</v>
      </c>
      <c r="K16" s="27">
        <f>$D16*(1+[1]Assumptions!$B$3)</f>
        <v>304.46999999999997</v>
      </c>
      <c r="L16" s="27">
        <f>$D16*(1+[1]Assumptions!$B$3)</f>
        <v>304.46999999999997</v>
      </c>
      <c r="M16" s="27">
        <f>$D16*(1+[1]Assumptions!$B$3)</f>
        <v>304.46999999999997</v>
      </c>
      <c r="N16" s="27">
        <f>$D16*(1+[1]Assumptions!$B$3)</f>
        <v>304.46999999999997</v>
      </c>
      <c r="O16" s="27">
        <f>$D16*(1+[1]Assumptions!$B$3)</f>
        <v>304.46999999999997</v>
      </c>
      <c r="P16" s="27">
        <f>$D16*(1+[1]Assumptions!$B$3)</f>
        <v>304.46999999999997</v>
      </c>
      <c r="Q16" s="28">
        <f t="shared" ref="Q16:Q54" si="3">SUM(E16:P16)</f>
        <v>3653.639999999999</v>
      </c>
      <c r="R16" s="29">
        <f>'[1]Op Budget 2015'!Q14</f>
        <v>995.1</v>
      </c>
      <c r="S16" s="27"/>
    </row>
    <row r="17" spans="1:19" x14ac:dyDescent="0.25">
      <c r="A17" s="18" t="s">
        <v>219</v>
      </c>
      <c r="B17" s="13" t="s">
        <v>207</v>
      </c>
      <c r="C17" s="13" t="s">
        <v>47</v>
      </c>
      <c r="D17" s="14">
        <v>500</v>
      </c>
      <c r="E17" s="15">
        <f>$D17</f>
        <v>500</v>
      </c>
      <c r="F17" s="15">
        <f t="shared" ref="F17:H17" si="4">$D17</f>
        <v>500</v>
      </c>
      <c r="G17" s="15">
        <f t="shared" si="4"/>
        <v>500</v>
      </c>
      <c r="H17" s="15">
        <f t="shared" si="4"/>
        <v>500</v>
      </c>
      <c r="I17" s="15">
        <v>203</v>
      </c>
      <c r="J17" s="15">
        <v>203</v>
      </c>
      <c r="K17" s="15">
        <v>203</v>
      </c>
      <c r="L17" s="15">
        <v>203</v>
      </c>
      <c r="M17" s="15">
        <v>203</v>
      </c>
      <c r="N17" s="15">
        <v>203</v>
      </c>
      <c r="O17" s="15">
        <v>203</v>
      </c>
      <c r="P17" s="15">
        <v>203</v>
      </c>
      <c r="Q17" s="16">
        <f t="shared" si="3"/>
        <v>3624</v>
      </c>
      <c r="R17" s="17">
        <f>'[1]Op Budget 2015'!Q15</f>
        <v>3610.5</v>
      </c>
    </row>
    <row r="18" spans="1:19" s="30" customFormat="1" x14ac:dyDescent="0.25">
      <c r="A18" s="30" t="s">
        <v>220</v>
      </c>
      <c r="B18" s="48" t="s">
        <v>207</v>
      </c>
      <c r="C18" s="48" t="s">
        <v>221</v>
      </c>
      <c r="D18" s="49">
        <v>0</v>
      </c>
      <c r="E18" s="27">
        <f>$D18*(1+[1]Assumptions!$B$3)</f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8">
        <f t="shared" si="3"/>
        <v>0</v>
      </c>
      <c r="R18" s="29">
        <f>'[1]Op Budget 2015'!Q16</f>
        <v>0</v>
      </c>
      <c r="S18" s="27"/>
    </row>
    <row r="19" spans="1:19" x14ac:dyDescent="0.25">
      <c r="A19" s="18" t="s">
        <v>222</v>
      </c>
      <c r="B19" s="13" t="s">
        <v>207</v>
      </c>
      <c r="C19" s="13" t="s">
        <v>223</v>
      </c>
      <c r="D19" s="14">
        <v>0</v>
      </c>
      <c r="E19" s="15">
        <f>$D19*(1+[1]Assumptions!$B$3)</f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6">
        <f t="shared" si="3"/>
        <v>0</v>
      </c>
      <c r="R19" s="17">
        <f>'[1]Op Budget 2015'!Q17</f>
        <v>0</v>
      </c>
    </row>
    <row r="20" spans="1:19" s="30" customFormat="1" x14ac:dyDescent="0.25">
      <c r="A20" s="30" t="s">
        <v>224</v>
      </c>
      <c r="B20" s="48" t="s">
        <v>207</v>
      </c>
      <c r="C20" s="48" t="s">
        <v>225</v>
      </c>
      <c r="D20" s="49">
        <v>457</v>
      </c>
      <c r="E20" s="27">
        <f>$D20*(1+[1]Assumptions!$B$3)</f>
        <v>463.80929999999995</v>
      </c>
      <c r="F20" s="27">
        <f>$D20*(1+[1]Assumptions!$B$3)</f>
        <v>463.80929999999995</v>
      </c>
      <c r="G20" s="27">
        <f>$D20*(1+[1]Assumptions!$B$3)</f>
        <v>463.80929999999995</v>
      </c>
      <c r="H20" s="27">
        <f>$D20*(1+[1]Assumptions!$B$3)</f>
        <v>463.80929999999995</v>
      </c>
      <c r="I20" s="27">
        <f>$D20*(1+[1]Assumptions!$B$3)</f>
        <v>463.80929999999995</v>
      </c>
      <c r="J20" s="27">
        <f>$D20*(1+[1]Assumptions!$B$3)</f>
        <v>463.80929999999995</v>
      </c>
      <c r="K20" s="27">
        <f>$D20*(1+[1]Assumptions!$B$3)</f>
        <v>463.80929999999995</v>
      </c>
      <c r="L20" s="27">
        <f>$D20*(1+[1]Assumptions!$B$3)</f>
        <v>463.80929999999995</v>
      </c>
      <c r="M20" s="27">
        <f>$D20*(1+[1]Assumptions!$B$3)</f>
        <v>463.80929999999995</v>
      </c>
      <c r="N20" s="27">
        <f>$D20*(1+[1]Assumptions!$B$3)</f>
        <v>463.80929999999995</v>
      </c>
      <c r="O20" s="27">
        <f>$D20*(1+[1]Assumptions!$B$3)</f>
        <v>463.80929999999995</v>
      </c>
      <c r="P20" s="27">
        <f>$D20*(1+[1]Assumptions!$B$3)</f>
        <v>463.80929999999995</v>
      </c>
      <c r="Q20" s="28">
        <f t="shared" si="3"/>
        <v>5565.7115999999996</v>
      </c>
      <c r="R20" s="29">
        <f>'[1]Op Budget 2015'!Q18</f>
        <v>0</v>
      </c>
      <c r="S20" s="27"/>
    </row>
    <row r="21" spans="1:19" x14ac:dyDescent="0.25">
      <c r="A21" s="18" t="s">
        <v>226</v>
      </c>
      <c r="B21" s="13" t="s">
        <v>207</v>
      </c>
      <c r="C21" s="13" t="s">
        <v>49</v>
      </c>
      <c r="D21" s="14">
        <v>0</v>
      </c>
      <c r="E21" s="15">
        <v>1070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1000</v>
      </c>
      <c r="P21" s="15">
        <v>1000</v>
      </c>
      <c r="Q21" s="16">
        <f t="shared" si="3"/>
        <v>3070</v>
      </c>
      <c r="R21" s="17">
        <f>'[1]Op Budget 2015'!Q19</f>
        <v>6981.2</v>
      </c>
    </row>
    <row r="22" spans="1:19" s="30" customFormat="1" x14ac:dyDescent="0.25">
      <c r="A22" s="30" t="s">
        <v>227</v>
      </c>
      <c r="B22" s="48" t="s">
        <v>207</v>
      </c>
      <c r="C22" s="48" t="s">
        <v>228</v>
      </c>
      <c r="D22" s="49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8">
        <f t="shared" si="3"/>
        <v>0</v>
      </c>
      <c r="R22" s="29">
        <f>'[1]Op Budget 2015'!Q20</f>
        <v>1500</v>
      </c>
      <c r="S22" s="27"/>
    </row>
    <row r="23" spans="1:19" x14ac:dyDescent="0.25">
      <c r="A23" s="18" t="s">
        <v>229</v>
      </c>
      <c r="B23" s="13" t="s">
        <v>207</v>
      </c>
      <c r="C23" s="13" t="s">
        <v>230</v>
      </c>
      <c r="D23" s="14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6">
        <f t="shared" si="3"/>
        <v>0</v>
      </c>
      <c r="R23" s="17">
        <f>'[1]Op Budget 2015'!Q21</f>
        <v>0</v>
      </c>
    </row>
    <row r="24" spans="1:19" s="30" customFormat="1" x14ac:dyDescent="0.25">
      <c r="A24" s="30" t="s">
        <v>169</v>
      </c>
      <c r="B24" s="48" t="s">
        <v>207</v>
      </c>
      <c r="C24" s="48" t="s">
        <v>194</v>
      </c>
      <c r="D24" s="49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8">
        <f t="shared" si="3"/>
        <v>0</v>
      </c>
      <c r="R24" s="29">
        <f>'[1]Op Budget 2015'!Q22</f>
        <v>0</v>
      </c>
      <c r="S24" s="27"/>
    </row>
    <row r="25" spans="1:19" x14ac:dyDescent="0.25">
      <c r="A25" s="18" t="s">
        <v>231</v>
      </c>
      <c r="B25" s="13" t="s">
        <v>207</v>
      </c>
      <c r="C25" s="13" t="s">
        <v>51</v>
      </c>
      <c r="D25" s="14">
        <v>0</v>
      </c>
      <c r="E25" s="15">
        <v>0</v>
      </c>
      <c r="F25" s="15">
        <v>0</v>
      </c>
      <c r="G25" s="15">
        <v>0</v>
      </c>
      <c r="H25" s="15">
        <v>420</v>
      </c>
      <c r="I25" s="15">
        <v>500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6">
        <f t="shared" si="3"/>
        <v>920</v>
      </c>
      <c r="R25" s="17">
        <f>'[1]Op Budget 2015'!Q23</f>
        <v>1093.5999999999999</v>
      </c>
    </row>
    <row r="26" spans="1:19" s="30" customFormat="1" x14ac:dyDescent="0.25">
      <c r="A26" s="30" t="s">
        <v>170</v>
      </c>
      <c r="B26" s="48" t="s">
        <v>207</v>
      </c>
      <c r="C26" s="48" t="s">
        <v>53</v>
      </c>
      <c r="D26" s="49">
        <v>0</v>
      </c>
      <c r="E26" s="27">
        <v>0</v>
      </c>
      <c r="F26" s="27">
        <v>0</v>
      </c>
      <c r="G26" s="27">
        <v>0</v>
      </c>
      <c r="H26" s="27">
        <v>2600</v>
      </c>
      <c r="I26" s="27">
        <v>4200</v>
      </c>
      <c r="J26" s="27">
        <v>0</v>
      </c>
      <c r="K26" s="27">
        <v>0</v>
      </c>
      <c r="L26" s="27">
        <v>2500</v>
      </c>
      <c r="M26" s="27">
        <v>0</v>
      </c>
      <c r="N26" s="27">
        <v>0</v>
      </c>
      <c r="O26" s="27">
        <v>2500</v>
      </c>
      <c r="P26" s="27">
        <v>0</v>
      </c>
      <c r="Q26" s="28">
        <f t="shared" si="3"/>
        <v>11800</v>
      </c>
      <c r="R26" s="29">
        <f>'[1]Op Budget 2015'!Q24</f>
        <v>17403.190000000002</v>
      </c>
      <c r="S26" s="27"/>
    </row>
    <row r="27" spans="1:19" s="30" customFormat="1" x14ac:dyDescent="0.25">
      <c r="A27" s="30" t="s">
        <v>171</v>
      </c>
      <c r="B27" s="48" t="s">
        <v>207</v>
      </c>
      <c r="C27" s="48" t="s">
        <v>55</v>
      </c>
      <c r="D27" s="49">
        <v>0</v>
      </c>
      <c r="E27" s="27">
        <v>400</v>
      </c>
      <c r="F27" s="27">
        <v>400</v>
      </c>
      <c r="G27" s="27">
        <v>400</v>
      </c>
      <c r="H27" s="27">
        <v>400</v>
      </c>
      <c r="I27" s="27">
        <v>400</v>
      </c>
      <c r="J27" s="27">
        <v>400</v>
      </c>
      <c r="K27" s="27">
        <v>400</v>
      </c>
      <c r="L27" s="27">
        <v>400</v>
      </c>
      <c r="M27" s="27">
        <v>400</v>
      </c>
      <c r="N27" s="27">
        <v>400</v>
      </c>
      <c r="O27" s="27">
        <v>400</v>
      </c>
      <c r="P27" s="27">
        <v>400</v>
      </c>
      <c r="Q27" s="28">
        <f t="shared" si="3"/>
        <v>4800</v>
      </c>
      <c r="R27" s="29">
        <f>'[1]Op Budget 2015'!Q25</f>
        <v>16309.830000000002</v>
      </c>
      <c r="S27" s="27"/>
    </row>
    <row r="28" spans="1:19" s="30" customFormat="1" x14ac:dyDescent="0.25">
      <c r="A28" s="30" t="s">
        <v>172</v>
      </c>
      <c r="B28" s="48" t="s">
        <v>207</v>
      </c>
      <c r="C28" s="48" t="s">
        <v>57</v>
      </c>
      <c r="D28" s="49">
        <v>0</v>
      </c>
      <c r="E28" s="27">
        <v>0</v>
      </c>
      <c r="F28" s="27">
        <f>$D28*(1+[1]Assumptions!$B$3)</f>
        <v>0</v>
      </c>
      <c r="G28" s="27">
        <f>$D28*(1+[1]Assumptions!$B$3)</f>
        <v>0</v>
      </c>
      <c r="H28" s="27">
        <v>0</v>
      </c>
      <c r="I28" s="27">
        <f>$D28*(1+[1]Assumptions!$B$3)</f>
        <v>0</v>
      </c>
      <c r="J28" s="27">
        <f>$D28*(1+[1]Assumptions!$B$3)</f>
        <v>0</v>
      </c>
      <c r="K28" s="27">
        <v>0</v>
      </c>
      <c r="L28" s="27">
        <f>$D28*(1+[1]Assumptions!$B$3)</f>
        <v>0</v>
      </c>
      <c r="M28" s="27">
        <f>$D28*(1+[1]Assumptions!$B$3)</f>
        <v>0</v>
      </c>
      <c r="N28" s="27">
        <v>0</v>
      </c>
      <c r="O28" s="27">
        <f>$D28*(1+[1]Assumptions!$B$3)</f>
        <v>0</v>
      </c>
      <c r="P28" s="27">
        <f>$D28*(1+[1]Assumptions!$B$3)</f>
        <v>0</v>
      </c>
      <c r="Q28" s="28">
        <f t="shared" si="3"/>
        <v>0</v>
      </c>
      <c r="R28" s="29">
        <f>'[1]Op Budget 2015'!Q26</f>
        <v>3830.1099999999997</v>
      </c>
      <c r="S28" s="27"/>
    </row>
    <row r="29" spans="1:19" x14ac:dyDescent="0.25">
      <c r="A29" s="18" t="s">
        <v>232</v>
      </c>
      <c r="B29" s="13" t="s">
        <v>207</v>
      </c>
      <c r="C29" s="13" t="s">
        <v>233</v>
      </c>
      <c r="D29" s="14">
        <v>0</v>
      </c>
      <c r="E29" s="15">
        <f>E10*0.05</f>
        <v>1703.3500000000001</v>
      </c>
      <c r="F29" s="15">
        <f t="shared" ref="F29:P29" si="5">F10*0.05</f>
        <v>1703.3500000000001</v>
      </c>
      <c r="G29" s="15">
        <f t="shared" si="5"/>
        <v>1703.3500000000001</v>
      </c>
      <c r="H29" s="15">
        <f t="shared" si="5"/>
        <v>1703.3500000000001</v>
      </c>
      <c r="I29" s="15">
        <f t="shared" si="5"/>
        <v>1780.4177419354842</v>
      </c>
      <c r="J29" s="15">
        <f t="shared" si="5"/>
        <v>1874</v>
      </c>
      <c r="K29" s="15">
        <f t="shared" si="5"/>
        <v>1941.5</v>
      </c>
      <c r="L29" s="15">
        <f t="shared" si="5"/>
        <v>1941.5</v>
      </c>
      <c r="M29" s="15">
        <f t="shared" si="5"/>
        <v>2014.8375000000001</v>
      </c>
      <c r="N29" s="15">
        <f t="shared" si="5"/>
        <v>2088.1750000000002</v>
      </c>
      <c r="O29" s="15">
        <f t="shared" si="5"/>
        <v>2234.85</v>
      </c>
      <c r="P29" s="15">
        <f t="shared" si="5"/>
        <v>2234.85</v>
      </c>
      <c r="Q29" s="16">
        <f t="shared" si="3"/>
        <v>22923.530241935481</v>
      </c>
      <c r="R29" s="17">
        <f>'[1]Op Budget 2015'!Q27</f>
        <v>0</v>
      </c>
    </row>
    <row r="30" spans="1:19" s="30" customFormat="1" x14ac:dyDescent="0.25">
      <c r="A30" s="30" t="s">
        <v>234</v>
      </c>
      <c r="B30" s="48" t="s">
        <v>207</v>
      </c>
      <c r="C30" s="48" t="s">
        <v>235</v>
      </c>
      <c r="D30" s="49">
        <f>'[1]Op Budget 2015'!Q28/12</f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8">
        <f t="shared" si="3"/>
        <v>0</v>
      </c>
      <c r="R30" s="29">
        <f>'[1]Op Budget 2015'!Q28</f>
        <v>0</v>
      </c>
      <c r="S30" s="27"/>
    </row>
    <row r="31" spans="1:19" x14ac:dyDescent="0.25">
      <c r="A31" s="18" t="s">
        <v>236</v>
      </c>
      <c r="B31" s="13" t="s">
        <v>207</v>
      </c>
      <c r="C31" s="13" t="s">
        <v>63</v>
      </c>
      <c r="D31" s="14">
        <v>200</v>
      </c>
      <c r="E31" s="15">
        <f>$D31*(1+[1]Assumptions!$B$3)</f>
        <v>202.98</v>
      </c>
      <c r="F31" s="15">
        <f>$D31*(1+[1]Assumptions!$B$3)</f>
        <v>202.98</v>
      </c>
      <c r="G31" s="15">
        <f>$D31*(1+[1]Assumptions!$B$3)</f>
        <v>202.98</v>
      </c>
      <c r="H31" s="15">
        <f>$D31*(1+[1]Assumptions!$B$3)</f>
        <v>202.98</v>
      </c>
      <c r="I31" s="15">
        <f>$D31*(1+[1]Assumptions!$B$3)</f>
        <v>202.98</v>
      </c>
      <c r="J31" s="15">
        <f>$D31*(1+[1]Assumptions!$B$3)</f>
        <v>202.98</v>
      </c>
      <c r="K31" s="15">
        <f>$D31*(1+[1]Assumptions!$B$3)</f>
        <v>202.98</v>
      </c>
      <c r="L31" s="15">
        <f>$D31*(1+[1]Assumptions!$B$3)</f>
        <v>202.98</v>
      </c>
      <c r="M31" s="15">
        <f>$D31*(1+[1]Assumptions!$B$3)</f>
        <v>202.98</v>
      </c>
      <c r="N31" s="15">
        <f>$D31*(1+[1]Assumptions!$B$3)</f>
        <v>202.98</v>
      </c>
      <c r="O31" s="15">
        <f>$D31*(1+[1]Assumptions!$B$3)</f>
        <v>202.98</v>
      </c>
      <c r="P31" s="15">
        <f>$D31*(1+[1]Assumptions!$B$3)</f>
        <v>202.98</v>
      </c>
      <c r="Q31" s="16">
        <f t="shared" si="3"/>
        <v>2435.7599999999998</v>
      </c>
      <c r="R31" s="17">
        <f>'[1]Op Budget 2015'!Q29</f>
        <v>16278.9</v>
      </c>
    </row>
    <row r="32" spans="1:19" s="30" customFormat="1" x14ac:dyDescent="0.25">
      <c r="A32" s="30" t="s">
        <v>237</v>
      </c>
      <c r="B32" s="48" t="s">
        <v>207</v>
      </c>
      <c r="C32" s="48" t="s">
        <v>238</v>
      </c>
      <c r="D32" s="49">
        <f>'[1]Op Budget 2015'!Q30/12</f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8">
        <f t="shared" si="3"/>
        <v>0</v>
      </c>
      <c r="R32" s="29">
        <f>'[1]Op Budget 2015'!Q30</f>
        <v>0</v>
      </c>
      <c r="S32" s="27"/>
    </row>
    <row r="33" spans="1:19" x14ac:dyDescent="0.25">
      <c r="A33" s="18" t="s">
        <v>239</v>
      </c>
      <c r="B33" s="13" t="s">
        <v>207</v>
      </c>
      <c r="C33" s="13" t="s">
        <v>240</v>
      </c>
      <c r="D33" s="14">
        <f>'[1]Op Budget 2015'!Q31/12</f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6">
        <f t="shared" si="3"/>
        <v>0</v>
      </c>
      <c r="R33" s="17">
        <f>'[1]Op Budget 2015'!Q31</f>
        <v>0</v>
      </c>
    </row>
    <row r="34" spans="1:19" s="30" customFormat="1" x14ac:dyDescent="0.25">
      <c r="A34" s="30" t="s">
        <v>241</v>
      </c>
      <c r="B34" s="48" t="s">
        <v>207</v>
      </c>
      <c r="C34" s="48" t="s">
        <v>71</v>
      </c>
      <c r="D34" s="49">
        <v>0</v>
      </c>
      <c r="E34" s="27">
        <v>22163.75</v>
      </c>
      <c r="F34" s="27">
        <v>0</v>
      </c>
      <c r="G34" s="27">
        <v>0</v>
      </c>
      <c r="H34" s="27">
        <v>22163.75</v>
      </c>
      <c r="I34" s="27">
        <v>0</v>
      </c>
      <c r="J34" s="27">
        <v>0</v>
      </c>
      <c r="K34" s="27">
        <v>22163.75</v>
      </c>
      <c r="L34" s="27">
        <v>0</v>
      </c>
      <c r="M34" s="27">
        <v>0</v>
      </c>
      <c r="N34" s="27">
        <v>22163.75</v>
      </c>
      <c r="O34" s="27">
        <v>0</v>
      </c>
      <c r="P34" s="27">
        <v>0</v>
      </c>
      <c r="Q34" s="28">
        <f t="shared" si="3"/>
        <v>88655</v>
      </c>
      <c r="R34" s="29">
        <f>'[1]Op Budget 2015'!Q32</f>
        <v>88655</v>
      </c>
      <c r="S34" s="27"/>
    </row>
    <row r="35" spans="1:19" x14ac:dyDescent="0.25">
      <c r="A35" s="18" t="s">
        <v>242</v>
      </c>
      <c r="B35" s="13" t="s">
        <v>207</v>
      </c>
      <c r="C35" s="13" t="s">
        <v>73</v>
      </c>
      <c r="D35" s="14">
        <v>0</v>
      </c>
      <c r="E35" s="15">
        <v>0</v>
      </c>
      <c r="F35" s="15">
        <v>0</v>
      </c>
      <c r="G35" s="15">
        <v>300</v>
      </c>
      <c r="H35" s="15">
        <v>0</v>
      </c>
      <c r="I35" s="15">
        <v>0</v>
      </c>
      <c r="J35" s="15">
        <v>970</v>
      </c>
      <c r="K35" s="15">
        <v>0</v>
      </c>
      <c r="L35" s="15">
        <v>0</v>
      </c>
      <c r="M35" s="15">
        <v>970</v>
      </c>
      <c r="N35" s="15">
        <v>0</v>
      </c>
      <c r="O35" s="15">
        <v>0</v>
      </c>
      <c r="P35" s="15">
        <v>0</v>
      </c>
      <c r="Q35" s="16">
        <f t="shared" si="3"/>
        <v>2240</v>
      </c>
      <c r="R35" s="17">
        <f>'[1]Op Budget 2015'!Q33</f>
        <v>1652</v>
      </c>
    </row>
    <row r="36" spans="1:19" s="30" customFormat="1" x14ac:dyDescent="0.25">
      <c r="A36" s="30" t="s">
        <v>243</v>
      </c>
      <c r="B36" s="48" t="s">
        <v>207</v>
      </c>
      <c r="C36" s="48" t="s">
        <v>75</v>
      </c>
      <c r="D36" s="49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8">
        <f t="shared" si="3"/>
        <v>0</v>
      </c>
      <c r="R36" s="29">
        <f>'[1]Op Budget 2015'!Q34</f>
        <v>5019.4699999999993</v>
      </c>
      <c r="S36" s="27"/>
    </row>
    <row r="37" spans="1:19" x14ac:dyDescent="0.25">
      <c r="A37" s="18" t="s">
        <v>244</v>
      </c>
      <c r="B37" s="13" t="s">
        <v>207</v>
      </c>
      <c r="C37" s="13" t="s">
        <v>245</v>
      </c>
      <c r="D37" s="14">
        <f>'[1]Op Budget 2015'!Q35/12</f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6">
        <f t="shared" si="3"/>
        <v>0</v>
      </c>
      <c r="R37" s="17">
        <f>'[1]Op Budget 2015'!Q35</f>
        <v>0</v>
      </c>
    </row>
    <row r="38" spans="1:19" s="30" customFormat="1" x14ac:dyDescent="0.25">
      <c r="A38" s="30" t="s">
        <v>246</v>
      </c>
      <c r="B38" s="48" t="s">
        <v>207</v>
      </c>
      <c r="C38" s="48" t="s">
        <v>247</v>
      </c>
      <c r="D38" s="49">
        <f>'[1]Op Budget 2015'!Q36/12</f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8">
        <f t="shared" si="3"/>
        <v>0</v>
      </c>
      <c r="R38" s="29">
        <f>'[1]Op Budget 2015'!Q36</f>
        <v>0</v>
      </c>
      <c r="S38" s="27"/>
    </row>
    <row r="39" spans="1:19" x14ac:dyDescent="0.25">
      <c r="A39" s="18" t="s">
        <v>248</v>
      </c>
      <c r="B39" s="13" t="s">
        <v>207</v>
      </c>
      <c r="C39" s="13" t="s">
        <v>249</v>
      </c>
      <c r="D39" s="14">
        <f>'[1]Op Budget 2015'!Q37/12</f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6">
        <f t="shared" si="3"/>
        <v>0</v>
      </c>
      <c r="R39" s="17">
        <f>'[1]Op Budget 2015'!Q37</f>
        <v>0</v>
      </c>
    </row>
    <row r="40" spans="1:19" s="30" customFormat="1" x14ac:dyDescent="0.25">
      <c r="A40" s="30" t="s">
        <v>173</v>
      </c>
      <c r="B40" s="48" t="s">
        <v>207</v>
      </c>
      <c r="C40" s="48" t="s">
        <v>79</v>
      </c>
      <c r="D40" s="49">
        <v>15</v>
      </c>
      <c r="E40" s="27">
        <f>$D40*(1+[1]Assumptions!$B$3)</f>
        <v>15.223499999999998</v>
      </c>
      <c r="F40" s="27">
        <f>$D40*(1+[1]Assumptions!$B$3)</f>
        <v>15.223499999999998</v>
      </c>
      <c r="G40" s="27">
        <f>$D40*(1+[1]Assumptions!$B$3)</f>
        <v>15.223499999999998</v>
      </c>
      <c r="H40" s="27">
        <f>$D40*(1+[1]Assumptions!$B$3)</f>
        <v>15.223499999999998</v>
      </c>
      <c r="I40" s="27">
        <f>$D40*(1+[1]Assumptions!$B$3)</f>
        <v>15.223499999999998</v>
      </c>
      <c r="J40" s="27">
        <f>$D40*(1+[1]Assumptions!$B$3)</f>
        <v>15.223499999999998</v>
      </c>
      <c r="K40" s="27">
        <f>$D40*(1+[1]Assumptions!$B$3)</f>
        <v>15.223499999999998</v>
      </c>
      <c r="L40" s="27">
        <f>$D40*(1+[1]Assumptions!$B$3)</f>
        <v>15.223499999999998</v>
      </c>
      <c r="M40" s="27">
        <f>$D40*(1+[1]Assumptions!$B$3)</f>
        <v>15.223499999999998</v>
      </c>
      <c r="N40" s="27">
        <f>$D40*(1+[1]Assumptions!$B$3)</f>
        <v>15.223499999999998</v>
      </c>
      <c r="O40" s="27">
        <f>$D40*(1+[1]Assumptions!$B$3)</f>
        <v>15.223499999999998</v>
      </c>
      <c r="P40" s="27">
        <f>$D40*(1+[1]Assumptions!$B$3)</f>
        <v>15.223499999999998</v>
      </c>
      <c r="Q40" s="28">
        <f t="shared" si="3"/>
        <v>182.68199999999999</v>
      </c>
      <c r="R40" s="29">
        <f>'[1]Op Budget 2015'!Q38</f>
        <v>0</v>
      </c>
      <c r="S40" s="27"/>
    </row>
    <row r="41" spans="1:19" x14ac:dyDescent="0.25">
      <c r="A41" s="18" t="s">
        <v>250</v>
      </c>
      <c r="B41" s="13" t="s">
        <v>207</v>
      </c>
      <c r="C41" s="13" t="s">
        <v>251</v>
      </c>
      <c r="D41" s="14">
        <f>'[1]Op Budget 2015'!Q39/12</f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6">
        <f t="shared" si="3"/>
        <v>0</v>
      </c>
      <c r="R41" s="17">
        <f>'[1]Op Budget 2015'!Q39</f>
        <v>0</v>
      </c>
    </row>
    <row r="42" spans="1:19" s="30" customFormat="1" x14ac:dyDescent="0.25">
      <c r="A42" s="30" t="s">
        <v>174</v>
      </c>
      <c r="B42" s="48" t="s">
        <v>207</v>
      </c>
      <c r="C42" s="48" t="s">
        <v>85</v>
      </c>
      <c r="D42" s="49">
        <f>'[1]Op Budget 2015'!Q40/12</f>
        <v>913.61083333333329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8">
        <f t="shared" si="3"/>
        <v>0</v>
      </c>
      <c r="R42" s="29">
        <f>'[1]Op Budget 2015'!Q40</f>
        <v>10963.33</v>
      </c>
      <c r="S42" s="27"/>
    </row>
    <row r="43" spans="1:19" x14ac:dyDescent="0.25">
      <c r="A43" s="18" t="s">
        <v>252</v>
      </c>
      <c r="B43" s="13" t="s">
        <v>207</v>
      </c>
      <c r="C43" s="13" t="s">
        <v>87</v>
      </c>
      <c r="D43" s="14">
        <v>0</v>
      </c>
      <c r="E43" s="15">
        <v>2000</v>
      </c>
      <c r="F43" s="15">
        <v>200</v>
      </c>
      <c r="G43" s="15">
        <v>2000</v>
      </c>
      <c r="H43" s="15">
        <v>750</v>
      </c>
      <c r="I43" s="15">
        <v>750</v>
      </c>
      <c r="J43" s="15">
        <v>350</v>
      </c>
      <c r="K43" s="15">
        <v>350</v>
      </c>
      <c r="L43" s="15">
        <v>350</v>
      </c>
      <c r="M43" s="15">
        <v>350</v>
      </c>
      <c r="N43" s="15">
        <v>350</v>
      </c>
      <c r="O43" s="15">
        <v>350</v>
      </c>
      <c r="P43" s="15">
        <v>350</v>
      </c>
      <c r="Q43" s="16">
        <f t="shared" si="3"/>
        <v>8150</v>
      </c>
      <c r="R43" s="17">
        <f>'[1]Op Budget 2015'!Q41</f>
        <v>16965.75</v>
      </c>
    </row>
    <row r="44" spans="1:19" s="30" customFormat="1" x14ac:dyDescent="0.25">
      <c r="A44" s="30" t="s">
        <v>253</v>
      </c>
      <c r="B44" s="48" t="s">
        <v>207</v>
      </c>
      <c r="C44" s="48" t="s">
        <v>89</v>
      </c>
      <c r="D44" s="49">
        <v>300</v>
      </c>
      <c r="E44" s="27">
        <f>$D44</f>
        <v>300</v>
      </c>
      <c r="F44" s="27">
        <f t="shared" ref="F44:P44" si="6">$D44</f>
        <v>300</v>
      </c>
      <c r="G44" s="27">
        <f t="shared" si="6"/>
        <v>300</v>
      </c>
      <c r="H44" s="27">
        <f t="shared" si="6"/>
        <v>300</v>
      </c>
      <c r="I44" s="27">
        <f t="shared" si="6"/>
        <v>300</v>
      </c>
      <c r="J44" s="27">
        <f t="shared" si="6"/>
        <v>300</v>
      </c>
      <c r="K44" s="27">
        <f t="shared" si="6"/>
        <v>300</v>
      </c>
      <c r="L44" s="27">
        <f t="shared" si="6"/>
        <v>300</v>
      </c>
      <c r="M44" s="27">
        <f t="shared" si="6"/>
        <v>300</v>
      </c>
      <c r="N44" s="27">
        <f t="shared" si="6"/>
        <v>300</v>
      </c>
      <c r="O44" s="27">
        <f t="shared" si="6"/>
        <v>300</v>
      </c>
      <c r="P44" s="27">
        <f t="shared" si="6"/>
        <v>300</v>
      </c>
      <c r="Q44" s="28">
        <f t="shared" si="3"/>
        <v>3600</v>
      </c>
      <c r="R44" s="29">
        <f>'[1]Op Budget 2015'!Q42</f>
        <v>12170</v>
      </c>
      <c r="S44" s="27"/>
    </row>
    <row r="45" spans="1:19" x14ac:dyDescent="0.25">
      <c r="A45" s="18" t="s">
        <v>254</v>
      </c>
      <c r="B45" s="13" t="s">
        <v>207</v>
      </c>
      <c r="C45" s="13" t="s">
        <v>91</v>
      </c>
      <c r="D45" s="14">
        <f>'[1]Op Budget 2015'!Q43/12</f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6">
        <f t="shared" si="3"/>
        <v>0</v>
      </c>
      <c r="R45" s="17">
        <f>'[1]Op Budget 2015'!Q43</f>
        <v>0</v>
      </c>
    </row>
    <row r="46" spans="1:19" s="30" customFormat="1" x14ac:dyDescent="0.25">
      <c r="A46" s="30" t="s">
        <v>255</v>
      </c>
      <c r="B46" s="48" t="s">
        <v>207</v>
      </c>
      <c r="C46" s="48" t="s">
        <v>256</v>
      </c>
      <c r="D46" s="49">
        <f>'[1]Op Budget 2015'!Q44/12</f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8">
        <f t="shared" si="3"/>
        <v>0</v>
      </c>
      <c r="R46" s="29">
        <f>'[1]Op Budget 2015'!Q44</f>
        <v>0</v>
      </c>
      <c r="S46" s="27"/>
    </row>
    <row r="47" spans="1:19" x14ac:dyDescent="0.25">
      <c r="A47" s="18" t="s">
        <v>257</v>
      </c>
      <c r="B47" s="13" t="s">
        <v>207</v>
      </c>
      <c r="C47" s="13" t="s">
        <v>258</v>
      </c>
      <c r="D47" s="14">
        <v>100</v>
      </c>
      <c r="E47" s="15">
        <f>$D47*(1+[1]Assumptions!$B$3)</f>
        <v>101.49</v>
      </c>
      <c r="F47" s="15">
        <f>$D47*(1+[1]Assumptions!$B$3)</f>
        <v>101.49</v>
      </c>
      <c r="G47" s="15">
        <f>$D47*(1+[1]Assumptions!$B$3)</f>
        <v>101.49</v>
      </c>
      <c r="H47" s="15">
        <f>$D47*(1+[1]Assumptions!$B$3)</f>
        <v>101.49</v>
      </c>
      <c r="I47" s="15">
        <f>$D47*(1+[1]Assumptions!$B$3)</f>
        <v>101.49</v>
      </c>
      <c r="J47" s="15">
        <f>$D47*(1+[1]Assumptions!$B$3)</f>
        <v>101.49</v>
      </c>
      <c r="K47" s="15">
        <f>$D47*(1+[1]Assumptions!$B$3)</f>
        <v>101.49</v>
      </c>
      <c r="L47" s="15">
        <f>$D47*(1+[1]Assumptions!$B$3)</f>
        <v>101.49</v>
      </c>
      <c r="M47" s="15">
        <f>$D47*(1+[1]Assumptions!$B$3)</f>
        <v>101.49</v>
      </c>
      <c r="N47" s="15">
        <f>$D47*(1+[1]Assumptions!$B$3)</f>
        <v>101.49</v>
      </c>
      <c r="O47" s="15">
        <f>$D47*(1+[1]Assumptions!$B$3)</f>
        <v>101.49</v>
      </c>
      <c r="P47" s="15">
        <f>$D47*(1+[1]Assumptions!$B$3)</f>
        <v>101.49</v>
      </c>
      <c r="Q47" s="16">
        <f t="shared" si="3"/>
        <v>1217.8799999999999</v>
      </c>
      <c r="R47" s="17">
        <f>'[1]Op Budget 2015'!Q45</f>
        <v>1058.8900000000001</v>
      </c>
    </row>
    <row r="48" spans="1:19" s="30" customFormat="1" x14ac:dyDescent="0.25">
      <c r="A48" s="30" t="s">
        <v>259</v>
      </c>
      <c r="B48" s="48" t="s">
        <v>207</v>
      </c>
      <c r="C48" s="48" t="s">
        <v>97</v>
      </c>
      <c r="D48" s="49">
        <f>'[1]Op Budget 2015'!Q46/12</f>
        <v>16.2225</v>
      </c>
      <c r="E48" s="27">
        <v>0</v>
      </c>
      <c r="F48" s="27">
        <v>0</v>
      </c>
      <c r="G48" s="27">
        <v>103</v>
      </c>
      <c r="H48" s="27">
        <v>20</v>
      </c>
      <c r="I48" s="27">
        <v>0</v>
      </c>
      <c r="J48" s="27">
        <v>0</v>
      </c>
      <c r="K48" s="27">
        <v>117</v>
      </c>
      <c r="L48" s="27">
        <v>78</v>
      </c>
      <c r="M48" s="27">
        <v>0</v>
      </c>
      <c r="N48" s="27">
        <v>0</v>
      </c>
      <c r="O48" s="27">
        <v>0</v>
      </c>
      <c r="P48" s="27">
        <v>0</v>
      </c>
      <c r="Q48" s="28">
        <f t="shared" si="3"/>
        <v>318</v>
      </c>
      <c r="R48" s="29">
        <f>'[1]Op Budget 2015'!Q46</f>
        <v>194.67000000000002</v>
      </c>
      <c r="S48" s="27"/>
    </row>
    <row r="49" spans="1:19" x14ac:dyDescent="0.25">
      <c r="A49" s="18" t="s">
        <v>260</v>
      </c>
      <c r="B49" s="13" t="s">
        <v>207</v>
      </c>
      <c r="C49" s="13" t="s">
        <v>99</v>
      </c>
      <c r="D49" s="14">
        <v>80</v>
      </c>
      <c r="E49" s="15">
        <f>$D49*(1+[1]Assumptions!$B$3)</f>
        <v>81.191999999999993</v>
      </c>
      <c r="F49" s="15">
        <f>$D49*(1+[1]Assumptions!$B$3)</f>
        <v>81.191999999999993</v>
      </c>
      <c r="G49" s="15">
        <f>$D49*(1+[1]Assumptions!$B$3)</f>
        <v>81.191999999999993</v>
      </c>
      <c r="H49" s="15">
        <f>$D49*(1+[1]Assumptions!$B$3)</f>
        <v>81.191999999999993</v>
      </c>
      <c r="I49" s="15">
        <f>$D49*(1+[1]Assumptions!$B$3)</f>
        <v>81.191999999999993</v>
      </c>
      <c r="J49" s="15">
        <f>$D49*(1+[1]Assumptions!$B$3)</f>
        <v>81.191999999999993</v>
      </c>
      <c r="K49" s="15">
        <f>$D49*(1+[1]Assumptions!$B$3)</f>
        <v>81.191999999999993</v>
      </c>
      <c r="L49" s="15">
        <f>$D49*(1+[1]Assumptions!$B$3)</f>
        <v>81.191999999999993</v>
      </c>
      <c r="M49" s="15">
        <f>$D49*(1+[1]Assumptions!$B$3)</f>
        <v>81.191999999999993</v>
      </c>
      <c r="N49" s="15">
        <f>$D49*(1+[1]Assumptions!$B$3)</f>
        <v>81.191999999999993</v>
      </c>
      <c r="O49" s="15">
        <f>$D49*(1+[1]Assumptions!$B$3)</f>
        <v>81.191999999999993</v>
      </c>
      <c r="P49" s="15">
        <f>$D49*(1+[1]Assumptions!$B$3)</f>
        <v>81.191999999999993</v>
      </c>
      <c r="Q49" s="16">
        <f t="shared" si="3"/>
        <v>974.30399999999997</v>
      </c>
      <c r="R49" s="17">
        <f>'[1]Op Budget 2015'!Q47</f>
        <v>681.67000000000007</v>
      </c>
    </row>
    <row r="50" spans="1:19" s="30" customFormat="1" x14ac:dyDescent="0.25">
      <c r="A50" s="30" t="s">
        <v>261</v>
      </c>
      <c r="B50" s="48" t="s">
        <v>207</v>
      </c>
      <c r="C50" s="48" t="s">
        <v>262</v>
      </c>
      <c r="D50" s="49">
        <f>'[1]Op Budget 2015'!Q48/12</f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3500</v>
      </c>
      <c r="Q50" s="28">
        <f t="shared" si="3"/>
        <v>3500</v>
      </c>
      <c r="R50" s="29">
        <f>'[1]Op Budget 2015'!Q48</f>
        <v>0</v>
      </c>
      <c r="S50" s="27"/>
    </row>
    <row r="51" spans="1:19" x14ac:dyDescent="0.25">
      <c r="A51" s="18" t="s">
        <v>263</v>
      </c>
      <c r="B51" s="13" t="s">
        <v>207</v>
      </c>
      <c r="C51" s="13" t="s">
        <v>101</v>
      </c>
      <c r="D51" s="14">
        <v>50</v>
      </c>
      <c r="E51" s="15">
        <f>$D51</f>
        <v>50</v>
      </c>
      <c r="F51" s="15">
        <f t="shared" ref="F51:P51" si="7">$D51</f>
        <v>50</v>
      </c>
      <c r="G51" s="15">
        <f t="shared" si="7"/>
        <v>50</v>
      </c>
      <c r="H51" s="15">
        <f t="shared" si="7"/>
        <v>50</v>
      </c>
      <c r="I51" s="15">
        <f t="shared" si="7"/>
        <v>50</v>
      </c>
      <c r="J51" s="15">
        <f t="shared" si="7"/>
        <v>50</v>
      </c>
      <c r="K51" s="15">
        <f t="shared" si="7"/>
        <v>50</v>
      </c>
      <c r="L51" s="15">
        <f t="shared" si="7"/>
        <v>50</v>
      </c>
      <c r="M51" s="15">
        <f t="shared" si="7"/>
        <v>50</v>
      </c>
      <c r="N51" s="15">
        <f t="shared" si="7"/>
        <v>50</v>
      </c>
      <c r="O51" s="15">
        <f t="shared" si="7"/>
        <v>50</v>
      </c>
      <c r="P51" s="15">
        <f t="shared" si="7"/>
        <v>50</v>
      </c>
      <c r="Q51" s="16">
        <f t="shared" si="3"/>
        <v>600</v>
      </c>
      <c r="R51" s="17">
        <f>'[1]Op Budget 2015'!Q49</f>
        <v>251</v>
      </c>
    </row>
    <row r="52" spans="1:19" s="30" customFormat="1" x14ac:dyDescent="0.25">
      <c r="A52" s="30" t="s">
        <v>264</v>
      </c>
      <c r="B52" s="48" t="s">
        <v>207</v>
      </c>
      <c r="C52" s="48" t="s">
        <v>265</v>
      </c>
      <c r="D52" s="49">
        <f>'[1]Op Budget 2015'!Q50/12</f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8">
        <f t="shared" si="3"/>
        <v>0</v>
      </c>
      <c r="R52" s="29">
        <f>'[1]Op Budget 2015'!Q50</f>
        <v>0</v>
      </c>
      <c r="S52" s="27"/>
    </row>
    <row r="53" spans="1:19" x14ac:dyDescent="0.25">
      <c r="A53" s="18" t="s">
        <v>266</v>
      </c>
      <c r="B53" s="13" t="s">
        <v>207</v>
      </c>
      <c r="C53" s="13" t="s">
        <v>103</v>
      </c>
      <c r="D53" s="14">
        <v>15</v>
      </c>
      <c r="E53" s="15">
        <f>$D53</f>
        <v>15</v>
      </c>
      <c r="F53" s="15">
        <f t="shared" ref="F53:P53" si="8">$D53</f>
        <v>15</v>
      </c>
      <c r="G53" s="15">
        <f t="shared" si="8"/>
        <v>15</v>
      </c>
      <c r="H53" s="15">
        <f t="shared" si="8"/>
        <v>15</v>
      </c>
      <c r="I53" s="15">
        <f t="shared" si="8"/>
        <v>15</v>
      </c>
      <c r="J53" s="15">
        <f t="shared" si="8"/>
        <v>15</v>
      </c>
      <c r="K53" s="15">
        <f t="shared" si="8"/>
        <v>15</v>
      </c>
      <c r="L53" s="15">
        <f t="shared" si="8"/>
        <v>15</v>
      </c>
      <c r="M53" s="15">
        <f t="shared" si="8"/>
        <v>15</v>
      </c>
      <c r="N53" s="15">
        <f t="shared" si="8"/>
        <v>15</v>
      </c>
      <c r="O53" s="15">
        <f t="shared" si="8"/>
        <v>15</v>
      </c>
      <c r="P53" s="15">
        <f t="shared" si="8"/>
        <v>15</v>
      </c>
      <c r="Q53" s="16">
        <f t="shared" si="3"/>
        <v>180</v>
      </c>
      <c r="R53" s="17">
        <f>'[1]Op Budget 2015'!Q51</f>
        <v>98.06</v>
      </c>
    </row>
    <row r="54" spans="1:19" s="30" customFormat="1" x14ac:dyDescent="0.25">
      <c r="A54" s="30" t="s">
        <v>267</v>
      </c>
      <c r="B54" s="48" t="s">
        <v>207</v>
      </c>
      <c r="C54" s="48"/>
      <c r="D54" s="49">
        <f>'[1]Op Budget 2015'!Q52/12</f>
        <v>10.145000000000001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8">
        <f t="shared" si="3"/>
        <v>0</v>
      </c>
      <c r="R54" s="29">
        <f>'[1]Op Budget 2015'!Q52</f>
        <v>121.74000000000001</v>
      </c>
      <c r="S54" s="27"/>
    </row>
    <row r="56" spans="1:19" s="34" customFormat="1" x14ac:dyDescent="0.25">
      <c r="A56" s="34" t="s">
        <v>268</v>
      </c>
      <c r="B56" s="35"/>
      <c r="C56" s="35"/>
      <c r="D56" s="36"/>
      <c r="E56" s="50">
        <f t="shared" ref="E56:P56" si="9">SUM(E15:E55)</f>
        <v>29371.264800000001</v>
      </c>
      <c r="F56" s="50">
        <f t="shared" si="9"/>
        <v>4337.5147999999999</v>
      </c>
      <c r="G56" s="50">
        <f t="shared" si="9"/>
        <v>6540.5147999999999</v>
      </c>
      <c r="H56" s="50">
        <f t="shared" si="9"/>
        <v>30688.264800000001</v>
      </c>
      <c r="I56" s="50">
        <f t="shared" si="9"/>
        <v>9964.5825419354824</v>
      </c>
      <c r="J56" s="50">
        <f t="shared" si="9"/>
        <v>5928.1647999999996</v>
      </c>
      <c r="K56" s="50">
        <f t="shared" si="9"/>
        <v>27306.414799999999</v>
      </c>
      <c r="L56" s="50">
        <f t="shared" si="9"/>
        <v>7603.6647999999996</v>
      </c>
      <c r="M56" s="50">
        <f t="shared" si="9"/>
        <v>6069.0022999999992</v>
      </c>
      <c r="N56" s="50">
        <f t="shared" si="9"/>
        <v>27336.089800000002</v>
      </c>
      <c r="O56" s="50">
        <f t="shared" si="9"/>
        <v>8772.014799999999</v>
      </c>
      <c r="P56" s="50">
        <f t="shared" si="9"/>
        <v>9772.0148000000008</v>
      </c>
      <c r="Q56" s="38">
        <f>SUM(E56:P56)</f>
        <v>173689.5078419355</v>
      </c>
      <c r="R56" s="39">
        <f>SUM(R15:R55)</f>
        <v>206422.51</v>
      </c>
      <c r="S56" s="37"/>
    </row>
    <row r="58" spans="1:19" s="45" customFormat="1" x14ac:dyDescent="0.25">
      <c r="A58" s="45" t="s">
        <v>269</v>
      </c>
      <c r="B58" s="40"/>
      <c r="C58" s="40"/>
      <c r="D58" s="41"/>
      <c r="E58" s="42">
        <f>SUM(E15:E29)</f>
        <v>4441.6293000000005</v>
      </c>
      <c r="F58" s="42">
        <f t="shared" ref="F58:P58" si="10">SUM(F15:F29)</f>
        <v>3371.6293000000001</v>
      </c>
      <c r="G58" s="42">
        <f t="shared" si="10"/>
        <v>3371.6293000000001</v>
      </c>
      <c r="H58" s="42">
        <f t="shared" si="10"/>
        <v>6988.6293000000005</v>
      </c>
      <c r="I58" s="42">
        <f t="shared" si="10"/>
        <v>8448.6970419354839</v>
      </c>
      <c r="J58" s="42">
        <f t="shared" si="10"/>
        <v>3842.2793000000001</v>
      </c>
      <c r="K58" s="42">
        <f t="shared" si="10"/>
        <v>3909.7793000000001</v>
      </c>
      <c r="L58" s="42">
        <f t="shared" si="10"/>
        <v>6409.7793000000001</v>
      </c>
      <c r="M58" s="42">
        <f t="shared" si="10"/>
        <v>3983.1167999999998</v>
      </c>
      <c r="N58" s="42">
        <f t="shared" si="10"/>
        <v>4056.4543000000003</v>
      </c>
      <c r="O58" s="42">
        <f t="shared" si="10"/>
        <v>7656.1293000000005</v>
      </c>
      <c r="P58" s="42">
        <f t="shared" si="10"/>
        <v>5156.1293000000005</v>
      </c>
      <c r="Q58" s="43">
        <f>SUM(E58:P58)</f>
        <v>61635.881841935494</v>
      </c>
      <c r="R58" s="44">
        <f>'[1]Op Budget 2015'!Q56</f>
        <v>52312.03</v>
      </c>
      <c r="S58" s="42"/>
    </row>
    <row r="60" spans="1:19" s="45" customFormat="1" x14ac:dyDescent="0.25">
      <c r="A60" s="45" t="s">
        <v>270</v>
      </c>
      <c r="B60" s="40"/>
      <c r="C60" s="40"/>
      <c r="D60" s="41"/>
      <c r="E60" s="42">
        <f>('[1]Min Rent 2015'!$C$15*0.5)/12</f>
        <v>912.375</v>
      </c>
      <c r="F60" s="42">
        <f>('[1]Min Rent 2015'!$C$15*0.5)/12</f>
        <v>912.375</v>
      </c>
      <c r="G60" s="42">
        <f>('[1]Min Rent 2015'!$C$15*0.5)/12</f>
        <v>912.375</v>
      </c>
      <c r="H60" s="42">
        <f>('[1]Min Rent 2015'!$C$15*0.5)/12</f>
        <v>912.375</v>
      </c>
      <c r="I60" s="42">
        <f>('[1]Min Rent 2015'!$C$15*0.5)/12</f>
        <v>912.375</v>
      </c>
      <c r="J60" s="42">
        <f>('[1]Min Rent 2015'!$C$15*0.5)/12</f>
        <v>912.375</v>
      </c>
      <c r="K60" s="42">
        <f>('[1]Min Rent 2015'!$C$15*0.5)/12</f>
        <v>912.375</v>
      </c>
      <c r="L60" s="42">
        <f>('[1]Min Rent 2015'!$C$15*0.5)/12</f>
        <v>912.375</v>
      </c>
      <c r="M60" s="42">
        <f>('[1]Min Rent 2015'!$C$15*0.5)/12</f>
        <v>912.375</v>
      </c>
      <c r="N60" s="42">
        <f>('[1]Min Rent 2015'!$C$15*0.5)/12</f>
        <v>912.375</v>
      </c>
      <c r="O60" s="42">
        <f>('[1]Min Rent 2015'!$C$15*0.5)/12</f>
        <v>912.375</v>
      </c>
      <c r="P60" s="42">
        <f>('[1]Min Rent 2015'!$C$15*0.5)/12</f>
        <v>912.375</v>
      </c>
      <c r="Q60" s="43">
        <f>SUM(E60:P60)</f>
        <v>10948.5</v>
      </c>
      <c r="R60" s="44"/>
      <c r="S60" s="42"/>
    </row>
    <row r="62" spans="1:19" s="34" customFormat="1" x14ac:dyDescent="0.25">
      <c r="A62" s="34" t="s">
        <v>271</v>
      </c>
      <c r="B62" s="35"/>
      <c r="C62" s="35"/>
      <c r="D62" s="36"/>
      <c r="E62" s="37">
        <f>E10-E56-E60</f>
        <v>3783.3601999999992</v>
      </c>
      <c r="F62" s="37">
        <f t="shared" ref="F62:P62" si="11">F10-F56-F60</f>
        <v>28817.110199999999</v>
      </c>
      <c r="G62" s="37">
        <f t="shared" si="11"/>
        <v>26614.110199999999</v>
      </c>
      <c r="H62" s="37">
        <f t="shared" si="11"/>
        <v>2466.3601999999992</v>
      </c>
      <c r="I62" s="37">
        <f t="shared" si="11"/>
        <v>24731.397296774201</v>
      </c>
      <c r="J62" s="37">
        <f t="shared" si="11"/>
        <v>30639.460200000001</v>
      </c>
      <c r="K62" s="37">
        <f t="shared" si="11"/>
        <v>10611.210200000001</v>
      </c>
      <c r="L62" s="37">
        <f t="shared" si="11"/>
        <v>30313.960200000001</v>
      </c>
      <c r="M62" s="37">
        <f t="shared" si="11"/>
        <v>33315.3727</v>
      </c>
      <c r="N62" s="37">
        <f t="shared" si="11"/>
        <v>13515.035199999998</v>
      </c>
      <c r="O62" s="37">
        <f t="shared" si="11"/>
        <v>35012.610200000003</v>
      </c>
      <c r="P62" s="37">
        <f t="shared" si="11"/>
        <v>34012.610199999996</v>
      </c>
      <c r="Q62" s="38">
        <f>SUM(E62:P62)</f>
        <v>273832.5969967742</v>
      </c>
      <c r="R62" s="39"/>
      <c r="S62" s="37"/>
    </row>
    <row r="64" spans="1:19" s="45" customFormat="1" x14ac:dyDescent="0.25">
      <c r="A64" s="45" t="s">
        <v>272</v>
      </c>
      <c r="B64" s="40" t="s">
        <v>207</v>
      </c>
      <c r="C64" s="40" t="s">
        <v>273</v>
      </c>
      <c r="D64" s="41"/>
      <c r="E64" s="42">
        <v>0</v>
      </c>
      <c r="F64" s="42">
        <v>0</v>
      </c>
      <c r="G64" s="42">
        <v>0</v>
      </c>
      <c r="H64" s="42">
        <f>[1]Assumptions!$I3</f>
        <v>5763.2800000000007</v>
      </c>
      <c r="I64" s="42">
        <f>[1]Assumptions!$I4</f>
        <v>5782.49</v>
      </c>
      <c r="J64" s="42">
        <f>[1]Assumptions!$I5</f>
        <v>5801.76</v>
      </c>
      <c r="K64" s="42">
        <f>[1]Assumptions!$I6</f>
        <v>5821.1</v>
      </c>
      <c r="L64" s="42">
        <f>[1]Assumptions!$I7</f>
        <v>5840.51</v>
      </c>
      <c r="M64" s="42">
        <f>[1]Assumptions!$I8</f>
        <v>5859.9700000000012</v>
      </c>
      <c r="N64" s="42">
        <f>[1]Assumptions!$I9</f>
        <v>5879.51</v>
      </c>
      <c r="O64" s="42">
        <f>[1]Assumptions!$I10</f>
        <v>5899.1100000000006</v>
      </c>
      <c r="P64" s="42">
        <f>[1]Assumptions!$I11</f>
        <v>5918.77</v>
      </c>
      <c r="Q64" s="43">
        <f>SUM(E64:P64)</f>
        <v>52566.5</v>
      </c>
      <c r="R64" s="44"/>
      <c r="S64" s="42"/>
    </row>
    <row r="65" spans="1:19" s="45" customFormat="1" x14ac:dyDescent="0.25">
      <c r="A65" s="45" t="s">
        <v>274</v>
      </c>
      <c r="B65" s="40" t="s">
        <v>207</v>
      </c>
      <c r="C65" s="40" t="s">
        <v>109</v>
      </c>
      <c r="D65" s="41"/>
      <c r="E65" s="42">
        <f>[1]Assumptions!$B$11</f>
        <v>13333.333333333334</v>
      </c>
      <c r="F65" s="42">
        <f>[1]Assumptions!$B$11</f>
        <v>13333.333333333334</v>
      </c>
      <c r="G65" s="42">
        <f>[1]Assumptions!$B$11</f>
        <v>13333.333333333334</v>
      </c>
      <c r="H65" s="42">
        <f>[1]Assumptions!$J3</f>
        <v>13333.33</v>
      </c>
      <c r="I65" s="42">
        <f>[1]Assumptions!$J4</f>
        <v>13314.12</v>
      </c>
      <c r="J65" s="42">
        <f>[1]Assumptions!$J5</f>
        <v>13294.85</v>
      </c>
      <c r="K65" s="42">
        <f>[1]Assumptions!$J6</f>
        <v>13275.51</v>
      </c>
      <c r="L65" s="42">
        <f>[1]Assumptions!$J7</f>
        <v>13256.1</v>
      </c>
      <c r="M65" s="42">
        <f>[1]Assumptions!$J8</f>
        <v>13236.64</v>
      </c>
      <c r="N65" s="42">
        <f>[1]Assumptions!$J9</f>
        <v>13217.1</v>
      </c>
      <c r="O65" s="42">
        <f>[1]Assumptions!$J10</f>
        <v>13197.5</v>
      </c>
      <c r="P65" s="42">
        <f>[1]Assumptions!$J11</f>
        <v>13177.84</v>
      </c>
      <c r="Q65" s="43">
        <f>SUM(E65:P65)</f>
        <v>159302.99</v>
      </c>
      <c r="R65" s="44"/>
      <c r="S65" s="42"/>
    </row>
    <row r="67" spans="1:19" s="34" customFormat="1" x14ac:dyDescent="0.25">
      <c r="A67" s="34" t="s">
        <v>275</v>
      </c>
      <c r="B67" s="35"/>
      <c r="C67" s="35"/>
      <c r="D67" s="36"/>
      <c r="E67" s="37">
        <f>E62-(E64+E65)</f>
        <v>-9549.9731333333348</v>
      </c>
      <c r="F67" s="37">
        <f t="shared" ref="F67:P67" si="12">F62-(F64+F65)</f>
        <v>15483.776866666665</v>
      </c>
      <c r="G67" s="37">
        <f t="shared" si="12"/>
        <v>13280.776866666665</v>
      </c>
      <c r="H67" s="37">
        <f t="shared" si="12"/>
        <v>-16630.249800000001</v>
      </c>
      <c r="I67" s="37">
        <f t="shared" si="12"/>
        <v>5634.7872967742005</v>
      </c>
      <c r="J67" s="37">
        <f t="shared" si="12"/>
        <v>11542.850200000001</v>
      </c>
      <c r="K67" s="37">
        <f t="shared" si="12"/>
        <v>-8485.3997999999992</v>
      </c>
      <c r="L67" s="37">
        <f t="shared" si="12"/>
        <v>11217.350200000001</v>
      </c>
      <c r="M67" s="37">
        <f t="shared" si="12"/>
        <v>14218.762699999999</v>
      </c>
      <c r="N67" s="37">
        <f t="shared" si="12"/>
        <v>-5581.5748000000021</v>
      </c>
      <c r="O67" s="37">
        <f t="shared" si="12"/>
        <v>15916.000200000002</v>
      </c>
      <c r="P67" s="37">
        <f t="shared" si="12"/>
        <v>14916.000199999995</v>
      </c>
      <c r="Q67" s="38">
        <f>SUM(E67:P67)</f>
        <v>61963.106996774186</v>
      </c>
      <c r="R67" s="39"/>
      <c r="S67" s="37"/>
    </row>
    <row r="69" spans="1:19" s="45" customFormat="1" x14ac:dyDescent="0.25">
      <c r="A69" s="45" t="s">
        <v>276</v>
      </c>
      <c r="B69" s="40"/>
      <c r="C69" s="40"/>
      <c r="D69" s="41"/>
      <c r="E69" s="42">
        <f>'[1]Broker''s Comm'!K14</f>
        <v>9137</v>
      </c>
      <c r="F69" s="42">
        <f>'[1]Broker''s Comm'!L14</f>
        <v>0</v>
      </c>
      <c r="G69" s="42">
        <f>'[1]Broker''s Comm'!M14</f>
        <v>0</v>
      </c>
      <c r="H69" s="42">
        <f>'[1]Broker''s Comm'!N14</f>
        <v>15419</v>
      </c>
      <c r="I69" s="42">
        <f>'[1]Broker''s Comm'!O14</f>
        <v>4204.8355000000001</v>
      </c>
      <c r="J69" s="42">
        <f>'[1]Broker''s Comm'!P14</f>
        <v>1773.9150025162505</v>
      </c>
      <c r="K69" s="42">
        <f>'[1]Broker''s Comm'!Q14</f>
        <v>15419</v>
      </c>
      <c r="L69" s="42">
        <f>'[1]Broker''s Comm'!R14</f>
        <v>0</v>
      </c>
      <c r="M69" s="42">
        <f>'[1]Broker''s Comm'!S14</f>
        <v>0</v>
      </c>
      <c r="N69" s="42">
        <f>'[1]Broker''s Comm'!T14</f>
        <v>1773.9150025162505</v>
      </c>
      <c r="O69" s="42">
        <f>'[1]Broker''s Comm'!U14</f>
        <v>4204.8355000000001</v>
      </c>
      <c r="P69" s="42">
        <f>'[1]Broker''s Comm'!V14</f>
        <v>3547.830005032501</v>
      </c>
      <c r="Q69" s="43">
        <f>SUM(E69:P69)</f>
        <v>55480.331010065005</v>
      </c>
      <c r="R69" s="44"/>
      <c r="S69" s="42"/>
    </row>
    <row r="71" spans="1:19" s="45" customFormat="1" x14ac:dyDescent="0.25">
      <c r="A71" s="45" t="s">
        <v>277</v>
      </c>
      <c r="B71" s="40" t="s">
        <v>207</v>
      </c>
      <c r="C71" s="40" t="s">
        <v>132</v>
      </c>
      <c r="D71" s="41"/>
      <c r="E71" s="42">
        <v>0</v>
      </c>
      <c r="F71" s="42">
        <v>0</v>
      </c>
      <c r="G71" s="42">
        <v>0</v>
      </c>
      <c r="H71" s="42">
        <v>48000</v>
      </c>
      <c r="I71" s="42">
        <f>[1]Assumptions!P10+[1]Assumptions!P19+[1]Assumptions!P28</f>
        <v>0</v>
      </c>
      <c r="J71" s="42">
        <v>0</v>
      </c>
      <c r="K71" s="42">
        <v>0</v>
      </c>
      <c r="L71" s="42">
        <v>0</v>
      </c>
      <c r="M71" s="42">
        <v>0</v>
      </c>
      <c r="N71" s="42">
        <v>0</v>
      </c>
      <c r="O71" s="42">
        <v>0</v>
      </c>
      <c r="P71" s="42">
        <v>0</v>
      </c>
      <c r="Q71" s="43">
        <f>SUM(E71:P71)</f>
        <v>48000</v>
      </c>
      <c r="R71" s="44"/>
      <c r="S71" s="42"/>
    </row>
    <row r="73" spans="1:19" s="45" customFormat="1" x14ac:dyDescent="0.25">
      <c r="A73" s="45" t="s">
        <v>278</v>
      </c>
      <c r="B73" s="40" t="s">
        <v>207</v>
      </c>
      <c r="C73" s="40" t="s">
        <v>279</v>
      </c>
      <c r="D73" s="41"/>
      <c r="E73" s="42">
        <v>0</v>
      </c>
      <c r="F73" s="42">
        <v>0</v>
      </c>
      <c r="G73" s="42">
        <v>0</v>
      </c>
      <c r="H73" s="42">
        <f>[1]Assumptions!P11+[1]Assumptions!P20+[1]Assumptions!P29+[1]Assumptions!P34</f>
        <v>74029</v>
      </c>
      <c r="I73" s="42">
        <f>[1]Assumptions!P12+[1]Assumptions!P21+[1]Assumptions!P30</f>
        <v>39029</v>
      </c>
      <c r="J73" s="42">
        <f>[1]Assumptions!P31</f>
        <v>10681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3">
        <f>SUM(E73:P73)</f>
        <v>123739</v>
      </c>
      <c r="R73" s="44"/>
      <c r="S73" s="42"/>
    </row>
    <row r="75" spans="1:19" s="45" customFormat="1" x14ac:dyDescent="0.25">
      <c r="A75" s="45" t="s">
        <v>280</v>
      </c>
      <c r="B75" s="40"/>
      <c r="C75" s="40"/>
      <c r="D75" s="41"/>
      <c r="E75" s="42">
        <f>[1]Assumptions!$B$5/12</f>
        <v>0</v>
      </c>
      <c r="F75" s="42">
        <f>[1]Assumptions!$B$5/12</f>
        <v>0</v>
      </c>
      <c r="G75" s="42">
        <f>[1]Assumptions!$B$5/12</f>
        <v>0</v>
      </c>
      <c r="H75" s="42">
        <f>[1]Assumptions!$B$5/12</f>
        <v>0</v>
      </c>
      <c r="I75" s="42">
        <f>[1]Assumptions!$B$5/12</f>
        <v>0</v>
      </c>
      <c r="J75" s="42">
        <f>[1]Assumptions!$B$5/12</f>
        <v>0</v>
      </c>
      <c r="K75" s="42">
        <f>[1]Assumptions!$B$5/12</f>
        <v>0</v>
      </c>
      <c r="L75" s="42">
        <f>[1]Assumptions!$B$5/12</f>
        <v>0</v>
      </c>
      <c r="M75" s="42">
        <f>[1]Assumptions!$B$5/12</f>
        <v>0</v>
      </c>
      <c r="N75" s="42">
        <f>[1]Assumptions!$B$5/12</f>
        <v>0</v>
      </c>
      <c r="O75" s="42">
        <f>[1]Assumptions!$B$5/12</f>
        <v>0</v>
      </c>
      <c r="P75" s="42">
        <f>[1]Assumptions!$B$5/12</f>
        <v>0</v>
      </c>
      <c r="Q75" s="43">
        <f>SUM(E75:P75)</f>
        <v>0</v>
      </c>
      <c r="R75" s="44"/>
      <c r="S75" s="42"/>
    </row>
    <row r="76" spans="1:19" s="34" customFormat="1" x14ac:dyDescent="0.25">
      <c r="A76" s="34" t="s">
        <v>281</v>
      </c>
      <c r="B76" s="35"/>
      <c r="C76" s="35"/>
      <c r="D76" s="36"/>
      <c r="E76" s="37">
        <f>E67-(E75+E69+E71+E73)</f>
        <v>-18686.973133333333</v>
      </c>
      <c r="F76" s="37">
        <f t="shared" ref="F76:P76" si="13">F67-(F75+F69+F71+F73)</f>
        <v>15483.776866666665</v>
      </c>
      <c r="G76" s="37">
        <f t="shared" si="13"/>
        <v>13280.776866666665</v>
      </c>
      <c r="H76" s="37">
        <f t="shared" si="13"/>
        <v>-154078.24979999999</v>
      </c>
      <c r="I76" s="37">
        <f t="shared" si="13"/>
        <v>-37599.048203225801</v>
      </c>
      <c r="J76" s="37">
        <f t="shared" si="13"/>
        <v>-912.06480251624998</v>
      </c>
      <c r="K76" s="37">
        <f t="shared" si="13"/>
        <v>-23904.399799999999</v>
      </c>
      <c r="L76" s="37">
        <f t="shared" si="13"/>
        <v>11217.350200000001</v>
      </c>
      <c r="M76" s="37">
        <f t="shared" si="13"/>
        <v>14218.762699999999</v>
      </c>
      <c r="N76" s="37">
        <f t="shared" si="13"/>
        <v>-7355.4898025162529</v>
      </c>
      <c r="O76" s="37">
        <f t="shared" si="13"/>
        <v>11711.164700000001</v>
      </c>
      <c r="P76" s="37">
        <f t="shared" si="13"/>
        <v>11368.170194967493</v>
      </c>
      <c r="Q76" s="38">
        <f>SUM(E76:P76)</f>
        <v>-165256.2240132908</v>
      </c>
      <c r="R76" s="39"/>
      <c r="S76" s="37"/>
    </row>
    <row r="78" spans="1:19" s="45" customFormat="1" x14ac:dyDescent="0.25">
      <c r="A78" s="45" t="s">
        <v>282</v>
      </c>
      <c r="B78" s="40"/>
      <c r="C78" s="40"/>
      <c r="D78" s="41">
        <v>6972.42</v>
      </c>
      <c r="E78" s="42">
        <f>$D78</f>
        <v>6972.42</v>
      </c>
      <c r="F78" s="42">
        <f t="shared" ref="F78:P78" si="14">$D78</f>
        <v>6972.42</v>
      </c>
      <c r="G78" s="42">
        <f t="shared" si="14"/>
        <v>6972.42</v>
      </c>
      <c r="H78" s="42">
        <f t="shared" si="14"/>
        <v>6972.42</v>
      </c>
      <c r="I78" s="42">
        <f t="shared" si="14"/>
        <v>6972.42</v>
      </c>
      <c r="J78" s="42">
        <f t="shared" si="14"/>
        <v>6972.42</v>
      </c>
      <c r="K78" s="42">
        <f t="shared" si="14"/>
        <v>6972.42</v>
      </c>
      <c r="L78" s="42">
        <f t="shared" si="14"/>
        <v>6972.42</v>
      </c>
      <c r="M78" s="42">
        <f t="shared" si="14"/>
        <v>6972.42</v>
      </c>
      <c r="N78" s="42">
        <f t="shared" si="14"/>
        <v>6972.42</v>
      </c>
      <c r="O78" s="42">
        <f t="shared" si="14"/>
        <v>6972.42</v>
      </c>
      <c r="P78" s="42">
        <f t="shared" si="14"/>
        <v>6972.42</v>
      </c>
      <c r="Q78" s="43">
        <f>SUM(E78:P78)</f>
        <v>83669.039999999994</v>
      </c>
      <c r="R78" s="44"/>
      <c r="S78" s="42"/>
    </row>
    <row r="80" spans="1:19" s="34" customFormat="1" x14ac:dyDescent="0.25">
      <c r="A80" s="34" t="s">
        <v>283</v>
      </c>
      <c r="B80" s="35"/>
      <c r="C80" s="35"/>
      <c r="D80" s="36"/>
      <c r="E80" s="37">
        <f>'[1]Op Budget 2015'!P73</f>
        <v>84180.56</v>
      </c>
      <c r="F80" s="37">
        <f>E81</f>
        <v>89347.83</v>
      </c>
      <c r="G80" s="37">
        <f t="shared" ref="G80:P80" si="15">F81</f>
        <v>97998.720000000001</v>
      </c>
      <c r="H80" s="37">
        <f t="shared" si="15"/>
        <v>404307.07686666673</v>
      </c>
      <c r="I80" s="37">
        <f t="shared" si="15"/>
        <v>265420.15706666675</v>
      </c>
      <c r="J80" s="37">
        <f t="shared" si="15"/>
        <v>220848.68886344094</v>
      </c>
      <c r="K80" s="37">
        <f t="shared" si="15"/>
        <v>212964.20406092468</v>
      </c>
      <c r="L80" s="37">
        <f t="shared" si="15"/>
        <v>204251.13426092468</v>
      </c>
      <c r="M80" s="37">
        <f t="shared" si="15"/>
        <v>208496.06446092468</v>
      </c>
      <c r="N80" s="37">
        <f t="shared" si="15"/>
        <v>215742.40716092466</v>
      </c>
      <c r="O80" s="37">
        <f t="shared" si="15"/>
        <v>223578.24735840841</v>
      </c>
      <c r="P80" s="37">
        <f t="shared" si="15"/>
        <v>228316.99205840839</v>
      </c>
      <c r="Q80" s="38"/>
      <c r="R80" s="39"/>
      <c r="S80" s="37"/>
    </row>
    <row r="81" spans="1:19" s="34" customFormat="1" x14ac:dyDescent="0.25">
      <c r="A81" s="34" t="s">
        <v>284</v>
      </c>
      <c r="B81" s="35"/>
      <c r="C81" s="35"/>
      <c r="D81" s="36"/>
      <c r="E81" s="37">
        <v>89347.83</v>
      </c>
      <c r="F81" s="37">
        <v>97998.720000000001</v>
      </c>
      <c r="G81" s="37">
        <f>G12+G76+G80+G34-G78</f>
        <v>404307.07686666673</v>
      </c>
      <c r="H81" s="37">
        <f t="shared" ref="H81:P81" si="16">H76+H80+H34-H78</f>
        <v>265420.15706666675</v>
      </c>
      <c r="I81" s="37">
        <f t="shared" si="16"/>
        <v>220848.68886344094</v>
      </c>
      <c r="J81" s="37">
        <f t="shared" si="16"/>
        <v>212964.20406092468</v>
      </c>
      <c r="K81" s="37">
        <f t="shared" si="16"/>
        <v>204251.13426092468</v>
      </c>
      <c r="L81" s="37">
        <f t="shared" si="16"/>
        <v>208496.06446092468</v>
      </c>
      <c r="M81" s="37">
        <f t="shared" si="16"/>
        <v>215742.40716092466</v>
      </c>
      <c r="N81" s="37">
        <f t="shared" si="16"/>
        <v>223578.24735840841</v>
      </c>
      <c r="O81" s="37">
        <f t="shared" si="16"/>
        <v>228316.99205840839</v>
      </c>
      <c r="P81" s="37">
        <f t="shared" si="16"/>
        <v>232712.74225337588</v>
      </c>
      <c r="Q81" s="38"/>
      <c r="R81" s="39"/>
      <c r="S81" s="37"/>
    </row>
    <row r="83" spans="1:19" ht="15.75" x14ac:dyDescent="0.25">
      <c r="E83" s="51" t="s">
        <v>285</v>
      </c>
      <c r="O83" s="52" t="s">
        <v>286</v>
      </c>
      <c r="P83" s="15">
        <v>90000</v>
      </c>
    </row>
    <row r="84" spans="1:19" x14ac:dyDescent="0.25">
      <c r="P84" s="53"/>
    </row>
    <row r="85" spans="1:19" x14ac:dyDescent="0.25">
      <c r="O85" s="52" t="s">
        <v>287</v>
      </c>
      <c r="P85" s="15">
        <f>P81-P83</f>
        <v>142712.74225337588</v>
      </c>
    </row>
  </sheetData>
  <pageMargins left="0.7" right="0.7" top="0.75" bottom="0.75" header="0.3" footer="0.3"/>
  <pageSetup paperSize="5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D188"/>
  <sheetViews>
    <sheetView tabSelected="1" zoomScaleNormal="100" zoomScaleSheetLayoutView="85" workbookViewId="0">
      <pane xSplit="2" ySplit="5" topLeftCell="C81" activePane="bottomRight" state="frozen"/>
      <selection pane="topRight" activeCell="C1" sqref="C1"/>
      <selection pane="bottomLeft" activeCell="A6" sqref="A6"/>
      <selection pane="bottomRight" activeCell="J86" sqref="J86"/>
    </sheetView>
  </sheetViews>
  <sheetFormatPr defaultRowHeight="15" outlineLevelRow="1" outlineLevelCol="1" x14ac:dyDescent="0.25"/>
  <cols>
    <col min="1" max="1" width="11.42578125" customWidth="1"/>
    <col min="2" max="2" width="37.140625" customWidth="1"/>
    <col min="3" max="3" width="17.140625" style="187" customWidth="1"/>
    <col min="4" max="15" width="13.7109375" style="186" customWidth="1" outlineLevel="1"/>
    <col min="16" max="16" width="17.140625" style="187" customWidth="1"/>
    <col min="17" max="17" width="17.140625" style="187" customWidth="1" collapsed="1"/>
    <col min="18" max="18" width="57.85546875" customWidth="1"/>
    <col min="19" max="19" width="10.5703125" bestFit="1" customWidth="1"/>
    <col min="20" max="21" width="20.42578125" bestFit="1" customWidth="1"/>
    <col min="22" max="27" width="10.5703125" bestFit="1" customWidth="1"/>
  </cols>
  <sheetData>
    <row r="1" spans="1:18" ht="19.5" x14ac:dyDescent="0.25">
      <c r="A1" s="233" t="s">
        <v>516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</row>
    <row r="2" spans="1:18" ht="15.75" x14ac:dyDescent="0.25">
      <c r="A2" s="234" t="s">
        <v>394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</row>
    <row r="3" spans="1:18" x14ac:dyDescent="0.25">
      <c r="A3" s="126"/>
      <c r="B3" s="126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</row>
    <row r="4" spans="1:18" x14ac:dyDescent="0.25">
      <c r="A4" s="126"/>
      <c r="B4" s="126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</row>
    <row r="5" spans="1:18" s="11" customFormat="1" ht="21.75" thickBot="1" x14ac:dyDescent="0.3">
      <c r="A5" s="10"/>
      <c r="B5" s="10"/>
      <c r="C5" s="178" t="s">
        <v>288</v>
      </c>
      <c r="D5" s="190">
        <v>42736</v>
      </c>
      <c r="E5" s="190">
        <v>42767</v>
      </c>
      <c r="F5" s="190">
        <v>42795</v>
      </c>
      <c r="G5" s="190">
        <v>42826</v>
      </c>
      <c r="H5" s="190">
        <v>42856</v>
      </c>
      <c r="I5" s="190">
        <v>42887</v>
      </c>
      <c r="J5" s="190">
        <v>42917</v>
      </c>
      <c r="K5" s="190">
        <v>42948</v>
      </c>
      <c r="L5" s="190">
        <v>42979</v>
      </c>
      <c r="M5" s="190">
        <v>43009</v>
      </c>
      <c r="N5" s="190">
        <v>43040</v>
      </c>
      <c r="O5" s="190">
        <v>43070</v>
      </c>
      <c r="P5" s="178" t="s">
        <v>438</v>
      </c>
      <c r="Q5" s="178" t="s">
        <v>0</v>
      </c>
      <c r="R5" s="178" t="s">
        <v>205</v>
      </c>
    </row>
    <row r="6" spans="1:18" x14ac:dyDescent="0.25">
      <c r="A6" s="1"/>
      <c r="B6" s="5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</row>
    <row r="7" spans="1:18" x14ac:dyDescent="0.25">
      <c r="A7" s="1" t="s">
        <v>1</v>
      </c>
      <c r="B7" s="5" t="s">
        <v>2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</row>
    <row r="8" spans="1:18" x14ac:dyDescent="0.25">
      <c r="A8" s="1"/>
      <c r="B8" s="5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</row>
    <row r="9" spans="1:18" x14ac:dyDescent="0.25">
      <c r="A9" s="1" t="s">
        <v>3</v>
      </c>
      <c r="B9" s="5" t="s">
        <v>4</v>
      </c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</row>
    <row r="10" spans="1:18" x14ac:dyDescent="0.25">
      <c r="A10" s="1" t="s">
        <v>5</v>
      </c>
      <c r="B10" s="5" t="s">
        <v>6</v>
      </c>
      <c r="C10" s="180">
        <f>SUM(C11:C18)</f>
        <v>359680.69</v>
      </c>
      <c r="D10" s="180">
        <f>SUM(D11:D18)</f>
        <v>24924.14</v>
      </c>
      <c r="E10" s="180">
        <f>SUM(E11:E18)</f>
        <v>24924.14</v>
      </c>
      <c r="F10" s="180">
        <f>SUM(F11:F18)</f>
        <v>24924.14</v>
      </c>
      <c r="G10" s="180">
        <f>SUM(G11:G18)</f>
        <v>24924.14</v>
      </c>
      <c r="H10" s="180">
        <f>SUM(H11:H18)</f>
        <v>25127.31</v>
      </c>
      <c r="I10" s="180">
        <f>SUM(I11:I18)</f>
        <v>25211.31</v>
      </c>
      <c r="J10" s="180">
        <f>SUM(J11:J18)</f>
        <v>25211.31</v>
      </c>
      <c r="K10" s="180">
        <f>SUM(K11:K18)</f>
        <v>25211.31</v>
      </c>
      <c r="L10" s="180">
        <f>SUM(L11:L18)</f>
        <v>25211.31</v>
      </c>
      <c r="M10" s="180">
        <f>SUM(M11:M18)</f>
        <v>25211.31</v>
      </c>
      <c r="N10" s="180">
        <f>SUM(N11:N18)</f>
        <v>25297.83</v>
      </c>
      <c r="O10" s="180">
        <f>SUM(O11:O18)</f>
        <v>25297.83</v>
      </c>
      <c r="P10" s="180">
        <f>SUM(P11:P18)</f>
        <v>301476.07999999996</v>
      </c>
      <c r="Q10" s="180">
        <f>IF(C10&lt;&gt;"",P10-C10,"")</f>
        <v>-58204.610000000044</v>
      </c>
    </row>
    <row r="11" spans="1:18" outlineLevel="1" x14ac:dyDescent="0.25">
      <c r="A11" s="1"/>
      <c r="B11" s="31" t="s">
        <v>517</v>
      </c>
      <c r="C11" s="174">
        <v>45461.599999999999</v>
      </c>
      <c r="D11" s="174">
        <f>VLOOKUP($B11,'Min Rent 2017'!$A$5:$P$19,5,FALSE)</f>
        <v>3825.61</v>
      </c>
      <c r="E11" s="174">
        <f>VLOOKUP($B11,'Min Rent 2017'!$A$5:$P$19,6,FALSE)</f>
        <v>3825.61</v>
      </c>
      <c r="F11" s="174">
        <f>VLOOKUP($B11,'Min Rent 2017'!$A$5:$P$19,7,FALSE)</f>
        <v>3825.61</v>
      </c>
      <c r="G11" s="174">
        <f>VLOOKUP($B11,'Min Rent 2017'!$A$5:$P$19,8,FALSE)</f>
        <v>3825.61</v>
      </c>
      <c r="H11" s="174">
        <f>VLOOKUP($B11,'Min Rent 2017'!$A$5:$P$19,9,FALSE)</f>
        <v>3940.38</v>
      </c>
      <c r="I11" s="174">
        <f>VLOOKUP($B11,'Min Rent 2017'!$A$5:$P$19,10,FALSE)</f>
        <v>3940.38</v>
      </c>
      <c r="J11" s="174">
        <f>VLOOKUP($B11,'Min Rent 2017'!$A$5:$P$19,11,FALSE)</f>
        <v>3940.38</v>
      </c>
      <c r="K11" s="174">
        <f>VLOOKUP($B11,'Min Rent 2017'!$A$5:$P$19,12,FALSE)</f>
        <v>3940.38</v>
      </c>
      <c r="L11" s="174">
        <f>VLOOKUP($B11,'Min Rent 2017'!$A$5:$P$19,13,FALSE)</f>
        <v>3940.38</v>
      </c>
      <c r="M11" s="174">
        <f>VLOOKUP($B11,'Min Rent 2017'!$A$5:$P$19,14,FALSE)</f>
        <v>3940.38</v>
      </c>
      <c r="N11" s="174">
        <f>VLOOKUP($B11,'Min Rent 2017'!$A$5:$P$19,15,FALSE)</f>
        <v>3940.38</v>
      </c>
      <c r="O11" s="174">
        <f>VLOOKUP($B11,'Min Rent 2017'!$A$5:$P$19,16,FALSE)</f>
        <v>3940.38</v>
      </c>
      <c r="P11" s="174">
        <f t="shared" ref="P11:P18" si="0">SUM(D11:O11)</f>
        <v>46825.479999999996</v>
      </c>
      <c r="Q11" s="174">
        <f t="shared" ref="Q11:Q53" si="1">IF(C11&lt;&gt;"",P11-C11,"")</f>
        <v>1363.8799999999974</v>
      </c>
    </row>
    <row r="12" spans="1:18" outlineLevel="1" x14ac:dyDescent="0.25">
      <c r="A12" s="1"/>
      <c r="B12" s="31" t="s">
        <v>519</v>
      </c>
      <c r="C12" s="174">
        <v>39323.64</v>
      </c>
      <c r="D12" s="174">
        <f>VLOOKUP($B12,'Min Rent 2017'!$A$5:$P$19,5,FALSE)</f>
        <v>2808.91</v>
      </c>
      <c r="E12" s="174">
        <f>VLOOKUP($B12,'Min Rent 2017'!$A$5:$P$19,6,FALSE)</f>
        <v>2808.91</v>
      </c>
      <c r="F12" s="191">
        <f>VLOOKUP($B12,'Min Rent 2017'!$A$5:$P$19,7,FALSE)</f>
        <v>2808.91</v>
      </c>
      <c r="G12" s="174">
        <f>VLOOKUP($B12,'Min Rent 2017'!$A$5:$P$19,8,FALSE)</f>
        <v>2808.91</v>
      </c>
      <c r="H12" s="174">
        <f>VLOOKUP($B12,'Min Rent 2017'!$A$5:$P$19,9,FALSE)</f>
        <v>2808.91</v>
      </c>
      <c r="I12" s="174">
        <f>VLOOKUP($B12,'Min Rent 2017'!$A$5:$P$19,10,FALSE)</f>
        <v>2808.91</v>
      </c>
      <c r="J12" s="174">
        <f>VLOOKUP($B12,'Min Rent 2017'!$A$5:$P$19,11,FALSE)</f>
        <v>2808.91</v>
      </c>
      <c r="K12" s="174">
        <f>VLOOKUP($B12,'Min Rent 2017'!$A$5:$P$19,12,FALSE)</f>
        <v>2808.91</v>
      </c>
      <c r="L12" s="174">
        <f>VLOOKUP($B12,'Min Rent 2017'!$A$5:$P$19,13,FALSE)</f>
        <v>2808.91</v>
      </c>
      <c r="M12" s="174">
        <f>VLOOKUP($B12,'Min Rent 2017'!$A$5:$P$19,14,FALSE)</f>
        <v>2808.91</v>
      </c>
      <c r="N12" s="174">
        <f>VLOOKUP($B12,'Min Rent 2017'!$A$5:$P$19,15,FALSE)</f>
        <v>2808.91</v>
      </c>
      <c r="O12" s="174">
        <f>VLOOKUP($B12,'Min Rent 2017'!$A$5:$P$19,16,FALSE)</f>
        <v>2808.91</v>
      </c>
      <c r="P12" s="174">
        <f t="shared" si="0"/>
        <v>33706.92</v>
      </c>
      <c r="Q12" s="174">
        <f t="shared" si="1"/>
        <v>-5616.7200000000012</v>
      </c>
    </row>
    <row r="13" spans="1:18" outlineLevel="1" x14ac:dyDescent="0.25">
      <c r="A13" s="1"/>
      <c r="B13" s="31" t="s">
        <v>520</v>
      </c>
      <c r="C13" s="174">
        <v>147592.76</v>
      </c>
      <c r="D13" s="174">
        <f>VLOOKUP($B13,'Min Rent 2017'!$A$5:$P$19,5,FALSE)</f>
        <v>12542.95</v>
      </c>
      <c r="E13" s="174">
        <f>VLOOKUP($B13,'Min Rent 2017'!$A$5:$P$19,6,FALSE)</f>
        <v>12542.95</v>
      </c>
      <c r="F13" s="174">
        <f>VLOOKUP($B13,'Min Rent 2017'!$A$5:$P$19,7,FALSE)</f>
        <v>12542.95</v>
      </c>
      <c r="G13" s="174">
        <f>VLOOKUP($B13,'Min Rent 2017'!$A$5:$P$19,8,FALSE)</f>
        <v>12542.95</v>
      </c>
      <c r="H13" s="174">
        <f>VLOOKUP($B13,'Min Rent 2017'!$A$5:$P$19,9,FALSE)</f>
        <v>12542.95</v>
      </c>
      <c r="I13" s="174">
        <f>VLOOKUP($B13,'Min Rent 2017'!$A$5:$P$19,10,FALSE)</f>
        <v>12542.95</v>
      </c>
      <c r="J13" s="174">
        <f>VLOOKUP($B13,'Min Rent 2017'!$A$5:$P$19,11,FALSE)</f>
        <v>12542.95</v>
      </c>
      <c r="K13" s="174">
        <f>VLOOKUP($B13,'Min Rent 2017'!$A$5:$P$19,12,FALSE)</f>
        <v>12542.95</v>
      </c>
      <c r="L13" s="174">
        <f>VLOOKUP($B13,'Min Rent 2017'!$A$5:$P$19,13,FALSE)</f>
        <v>12542.95</v>
      </c>
      <c r="M13" s="174">
        <f>VLOOKUP($B13,'Min Rent 2017'!$A$5:$P$19,14,FALSE)</f>
        <v>12542.95</v>
      </c>
      <c r="N13" s="191">
        <f>VLOOKUP($B13,'Min Rent 2017'!$A$5:$P$19,15,FALSE)</f>
        <v>12542.95</v>
      </c>
      <c r="O13" s="174">
        <f>VLOOKUP($B13,'Min Rent 2017'!$A$5:$P$19,16,FALSE)</f>
        <v>12542.95</v>
      </c>
      <c r="P13" s="174">
        <f t="shared" si="0"/>
        <v>150515.4</v>
      </c>
      <c r="Q13" s="174">
        <f t="shared" si="1"/>
        <v>2922.6399999999849</v>
      </c>
    </row>
    <row r="14" spans="1:18" outlineLevel="1" x14ac:dyDescent="0.25">
      <c r="A14" s="1"/>
      <c r="B14" s="247" t="s">
        <v>521</v>
      </c>
      <c r="C14" s="221">
        <v>41458.44</v>
      </c>
      <c r="D14" s="221">
        <v>0</v>
      </c>
      <c r="E14" s="221">
        <v>0</v>
      </c>
      <c r="F14" s="221">
        <v>0</v>
      </c>
      <c r="G14" s="221">
        <v>0</v>
      </c>
      <c r="H14" s="221">
        <v>0</v>
      </c>
      <c r="I14" s="221">
        <v>0</v>
      </c>
      <c r="J14" s="221">
        <v>0</v>
      </c>
      <c r="K14" s="221">
        <v>0</v>
      </c>
      <c r="L14" s="221">
        <v>0</v>
      </c>
      <c r="M14" s="221">
        <v>0</v>
      </c>
      <c r="N14" s="221">
        <v>0</v>
      </c>
      <c r="O14" s="221">
        <v>0</v>
      </c>
      <c r="P14" s="221">
        <f t="shared" si="0"/>
        <v>0</v>
      </c>
      <c r="Q14" s="221">
        <f t="shared" si="1"/>
        <v>-41458.44</v>
      </c>
    </row>
    <row r="15" spans="1:18" outlineLevel="1" x14ac:dyDescent="0.25">
      <c r="A15" s="1"/>
      <c r="B15" s="31" t="s">
        <v>522</v>
      </c>
      <c r="C15" s="174">
        <v>34188</v>
      </c>
      <c r="D15" s="174">
        <f>VLOOKUP($B15,'Min Rent 2017'!$A$5:$P$19,5,FALSE)</f>
        <v>2800</v>
      </c>
      <c r="E15" s="174">
        <f>VLOOKUP($B15,'Min Rent 2017'!$A$5:$P$19,6,FALSE)</f>
        <v>2800</v>
      </c>
      <c r="F15" s="174">
        <f>VLOOKUP($B15,'Min Rent 2017'!$A$5:$P$19,7,FALSE)</f>
        <v>2800</v>
      </c>
      <c r="G15" s="191">
        <f>VLOOKUP($B15,'Min Rent 2017'!$A$5:$P$19,8,FALSE)</f>
        <v>2800</v>
      </c>
      <c r="H15" s="174">
        <f>VLOOKUP($B15,'Min Rent 2017'!$A$5:$P$19,9,FALSE)</f>
        <v>2800</v>
      </c>
      <c r="I15" s="174">
        <f>VLOOKUP($B15,'Min Rent 2017'!$A$5:$P$19,10,FALSE)</f>
        <v>2884</v>
      </c>
      <c r="J15" s="174">
        <f>VLOOKUP($B15,'Min Rent 2017'!$A$5:$P$19,11,FALSE)</f>
        <v>2884</v>
      </c>
      <c r="K15" s="174">
        <f>VLOOKUP($B15,'Min Rent 2017'!$A$5:$P$19,12,FALSE)</f>
        <v>2884</v>
      </c>
      <c r="L15" s="174">
        <f>VLOOKUP($B15,'Min Rent 2017'!$A$5:$P$19,13,FALSE)</f>
        <v>2884</v>
      </c>
      <c r="M15" s="174">
        <f>VLOOKUP($B15,'Min Rent 2017'!$A$5:$P$19,14,FALSE)</f>
        <v>2884</v>
      </c>
      <c r="N15" s="174">
        <f>VLOOKUP($B15,'Min Rent 2017'!$A$5:$P$19,15,FALSE)</f>
        <v>2970.52</v>
      </c>
      <c r="O15" s="174">
        <f>VLOOKUP($B15,'Min Rent 2017'!$A$5:$P$19,16,FALSE)</f>
        <v>2970.52</v>
      </c>
      <c r="P15" s="174">
        <f t="shared" si="0"/>
        <v>34361.040000000001</v>
      </c>
      <c r="Q15" s="174">
        <f t="shared" si="1"/>
        <v>173.04000000000087</v>
      </c>
    </row>
    <row r="16" spans="1:18" outlineLevel="1" x14ac:dyDescent="0.25">
      <c r="A16" s="7"/>
      <c r="B16" s="31" t="s">
        <v>526</v>
      </c>
      <c r="C16" s="174">
        <v>19500</v>
      </c>
      <c r="D16" s="174">
        <f>VLOOKUP($B16,'Min Rent 2017'!$A$5:$P$19,5,FALSE)</f>
        <v>2946.67</v>
      </c>
      <c r="E16" s="174">
        <f>VLOOKUP($B16,'Min Rent 2017'!$A$5:$P$19,6,FALSE)</f>
        <v>2946.67</v>
      </c>
      <c r="F16" s="174">
        <f>VLOOKUP($B16,'Min Rent 2017'!$A$5:$P$19,7,FALSE)</f>
        <v>2946.67</v>
      </c>
      <c r="G16" s="174">
        <f>VLOOKUP($B16,'Min Rent 2017'!$A$5:$P$19,8,FALSE)</f>
        <v>2946.67</v>
      </c>
      <c r="H16" s="174">
        <f>VLOOKUP($B16,'Min Rent 2017'!$A$5:$P$19,9,FALSE)</f>
        <v>3035.07</v>
      </c>
      <c r="I16" s="174">
        <f>VLOOKUP($B16,'Min Rent 2017'!$A$5:$P$19,10,FALSE)</f>
        <v>3035.07</v>
      </c>
      <c r="J16" s="174">
        <f>VLOOKUP($B16,'Min Rent 2017'!$A$5:$P$19,11,FALSE)</f>
        <v>3035.07</v>
      </c>
      <c r="K16" s="174">
        <f>VLOOKUP($B16,'Min Rent 2017'!$A$5:$P$19,12,FALSE)</f>
        <v>3035.07</v>
      </c>
      <c r="L16" s="174">
        <f>VLOOKUP($B16,'Min Rent 2017'!$A$5:$P$19,13,FALSE)</f>
        <v>3035.07</v>
      </c>
      <c r="M16" s="174">
        <f>VLOOKUP($B16,'Min Rent 2017'!$A$5:$P$19,14,FALSE)</f>
        <v>3035.07</v>
      </c>
      <c r="N16" s="174">
        <f>VLOOKUP($B16,'Min Rent 2017'!$A$5:$P$19,15,FALSE)</f>
        <v>3035.07</v>
      </c>
      <c r="O16" s="191">
        <f>VLOOKUP($B16,'Min Rent 2017'!$A$5:$P$19,16,FALSE)</f>
        <v>3035.07</v>
      </c>
      <c r="P16" s="174">
        <f t="shared" si="0"/>
        <v>36067.24</v>
      </c>
      <c r="Q16" s="174">
        <f t="shared" si="1"/>
        <v>16567.239999999998</v>
      </c>
    </row>
    <row r="17" spans="1:17" outlineLevel="1" x14ac:dyDescent="0.25">
      <c r="A17" s="7"/>
      <c r="B17" s="31" t="s">
        <v>523</v>
      </c>
      <c r="C17" s="174">
        <v>23156.25</v>
      </c>
      <c r="D17" s="174">
        <f>VLOOKUP($B17,'Min Rent 2017'!$A$5:$P$19,5,FALSE)</f>
        <v>0</v>
      </c>
      <c r="E17" s="174">
        <f>VLOOKUP($B17,'Min Rent 2017'!$A$5:$P$19,6,FALSE)</f>
        <v>0</v>
      </c>
      <c r="F17" s="174">
        <f>VLOOKUP($B17,'Min Rent 2017'!$A$5:$P$19,7,FALSE)</f>
        <v>0</v>
      </c>
      <c r="G17" s="174">
        <f>VLOOKUP($B17,'Min Rent 2017'!$A$5:$P$19,8,FALSE)</f>
        <v>0</v>
      </c>
      <c r="H17" s="174">
        <f>VLOOKUP($B17,'Min Rent 2017'!$A$5:$P$19,9,FALSE)</f>
        <v>0</v>
      </c>
      <c r="I17" s="174">
        <f>VLOOKUP($B17,'Min Rent 2017'!$A$5:$P$19,10,FALSE)</f>
        <v>0</v>
      </c>
      <c r="J17" s="174">
        <f>VLOOKUP($B17,'Min Rent 2017'!$A$5:$P$19,11,FALSE)</f>
        <v>0</v>
      </c>
      <c r="K17" s="174">
        <f>VLOOKUP($B17,'Min Rent 2017'!$A$5:$P$19,12,FALSE)</f>
        <v>0</v>
      </c>
      <c r="L17" s="174">
        <f>VLOOKUP($B17,'Min Rent 2017'!$A$5:$P$19,13,FALSE)</f>
        <v>0</v>
      </c>
      <c r="M17" s="174">
        <f>VLOOKUP($B17,'Min Rent 2017'!$A$5:$P$19,14,FALSE)</f>
        <v>0</v>
      </c>
      <c r="N17" s="174">
        <f>VLOOKUP($B17,'Min Rent 2017'!$A$5:$P$19,15,FALSE)</f>
        <v>0</v>
      </c>
      <c r="O17" s="174">
        <f>VLOOKUP($B17,'Min Rent 2017'!$A$5:$P$19,16,FALSE)</f>
        <v>0</v>
      </c>
      <c r="P17" s="174">
        <f t="shared" si="0"/>
        <v>0</v>
      </c>
      <c r="Q17" s="174">
        <f t="shared" si="1"/>
        <v>-23156.25</v>
      </c>
    </row>
    <row r="18" spans="1:17" outlineLevel="1" x14ac:dyDescent="0.25">
      <c r="A18" s="7"/>
      <c r="B18" s="31" t="s">
        <v>524</v>
      </c>
      <c r="C18" s="174">
        <v>9000</v>
      </c>
      <c r="D18" s="174">
        <f>VLOOKUP($B18,'Min Rent 2017'!$A$5:$P$19,5,FALSE)</f>
        <v>0</v>
      </c>
      <c r="E18" s="174">
        <f>VLOOKUP($B18,'Min Rent 2017'!$A$5:$P$19,6,FALSE)</f>
        <v>0</v>
      </c>
      <c r="F18" s="174">
        <f>VLOOKUP($B18,'Min Rent 2017'!$A$5:$P$19,7,FALSE)</f>
        <v>0</v>
      </c>
      <c r="G18" s="174">
        <f>VLOOKUP($B18,'Min Rent 2017'!$A$5:$P$19,8,FALSE)</f>
        <v>0</v>
      </c>
      <c r="H18" s="174">
        <f>VLOOKUP($B18,'Min Rent 2017'!$A$5:$P$19,9,FALSE)</f>
        <v>0</v>
      </c>
      <c r="I18" s="174">
        <f>VLOOKUP($B18,'Min Rent 2017'!$A$5:$P$19,10,FALSE)</f>
        <v>0</v>
      </c>
      <c r="J18" s="174">
        <f>VLOOKUP($B18,'Min Rent 2017'!$A$5:$P$19,11,FALSE)</f>
        <v>0</v>
      </c>
      <c r="K18" s="174">
        <f>VLOOKUP($B18,'Min Rent 2017'!$A$5:$P$19,12,FALSE)</f>
        <v>0</v>
      </c>
      <c r="L18" s="174">
        <f>VLOOKUP($B18,'Min Rent 2017'!$A$5:$P$19,13,FALSE)</f>
        <v>0</v>
      </c>
      <c r="M18" s="174">
        <f>VLOOKUP($B18,'Min Rent 2017'!$A$5:$P$19,14,FALSE)</f>
        <v>0</v>
      </c>
      <c r="N18" s="174">
        <f>VLOOKUP($B18,'Min Rent 2017'!$A$5:$P$19,15,FALSE)</f>
        <v>0</v>
      </c>
      <c r="O18" s="174">
        <f>VLOOKUP($B18,'Min Rent 2017'!$A$5:$P$19,16,FALSE)</f>
        <v>0</v>
      </c>
      <c r="P18" s="174">
        <f t="shared" si="0"/>
        <v>0</v>
      </c>
      <c r="Q18" s="174">
        <f t="shared" si="1"/>
        <v>-9000</v>
      </c>
    </row>
    <row r="19" spans="1:17" x14ac:dyDescent="0.25">
      <c r="A19" s="1" t="s">
        <v>7</v>
      </c>
      <c r="B19" s="5" t="s">
        <v>8</v>
      </c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>
        <v>0</v>
      </c>
      <c r="Q19" s="174" t="str">
        <f t="shared" si="1"/>
        <v/>
      </c>
    </row>
    <row r="20" spans="1:17" ht="15.75" thickBot="1" x14ac:dyDescent="0.3">
      <c r="A20" s="1"/>
      <c r="B20" s="5"/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 t="str">
        <f t="shared" si="1"/>
        <v/>
      </c>
    </row>
    <row r="21" spans="1:17" s="121" customFormat="1" x14ac:dyDescent="0.25">
      <c r="A21" s="6" t="s">
        <v>9</v>
      </c>
      <c r="B21" s="3" t="s">
        <v>10</v>
      </c>
      <c r="C21" s="176">
        <f>SUM(C19:C20,C10)</f>
        <v>359680.69</v>
      </c>
      <c r="D21" s="176">
        <f>SUM(D19:D20,D10)</f>
        <v>24924.14</v>
      </c>
      <c r="E21" s="176">
        <f>SUM(E19:E20,E10)</f>
        <v>24924.14</v>
      </c>
      <c r="F21" s="176">
        <f>SUM(F19:F20,F10)</f>
        <v>24924.14</v>
      </c>
      <c r="G21" s="176">
        <f>SUM(G19:G20,G10)</f>
        <v>24924.14</v>
      </c>
      <c r="H21" s="176">
        <f>SUM(H19:H20,H10)</f>
        <v>25127.31</v>
      </c>
      <c r="I21" s="176">
        <f>SUM(I19:I20,I10)</f>
        <v>25211.31</v>
      </c>
      <c r="J21" s="176">
        <f>SUM(J19:J20,J10)</f>
        <v>25211.31</v>
      </c>
      <c r="K21" s="176">
        <f>SUM(K19:K20,K10)</f>
        <v>25211.31</v>
      </c>
      <c r="L21" s="176">
        <f>SUM(L19:L20,L10)</f>
        <v>25211.31</v>
      </c>
      <c r="M21" s="176">
        <f>SUM(M19:M20,M10)</f>
        <v>25211.31</v>
      </c>
      <c r="N21" s="176">
        <f>SUM(N19:N20,N10)</f>
        <v>25297.83</v>
      </c>
      <c r="O21" s="176">
        <f>SUM(O19:O20,O10)</f>
        <v>25297.83</v>
      </c>
      <c r="P21" s="176">
        <f>SUM(P19:P20,P10)</f>
        <v>301476.07999999996</v>
      </c>
      <c r="Q21" s="176">
        <f t="shared" si="1"/>
        <v>-58204.610000000044</v>
      </c>
    </row>
    <row r="22" spans="1:17" x14ac:dyDescent="0.25">
      <c r="A22" s="1"/>
      <c r="B22" s="5"/>
      <c r="C22" s="179"/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 t="str">
        <f t="shared" si="1"/>
        <v/>
      </c>
    </row>
    <row r="23" spans="1:17" x14ac:dyDescent="0.25">
      <c r="A23" s="1" t="s">
        <v>11</v>
      </c>
      <c r="B23" s="5" t="s">
        <v>12</v>
      </c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 t="str">
        <f t="shared" si="1"/>
        <v/>
      </c>
    </row>
    <row r="24" spans="1:17" x14ac:dyDescent="0.25">
      <c r="A24" s="1" t="s">
        <v>13</v>
      </c>
      <c r="B24" s="5" t="s">
        <v>14</v>
      </c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>
        <v>0</v>
      </c>
      <c r="Q24" s="174" t="str">
        <f t="shared" si="1"/>
        <v/>
      </c>
    </row>
    <row r="25" spans="1:17" x14ac:dyDescent="0.25">
      <c r="A25" s="1" t="s">
        <v>15</v>
      </c>
      <c r="B25" s="5" t="s">
        <v>16</v>
      </c>
      <c r="C25" s="180">
        <v>192652</v>
      </c>
      <c r="D25" s="180">
        <f>ROUND(SUM(D26:D33),0)</f>
        <v>30</v>
      </c>
      <c r="E25" s="180">
        <f>ROUND(SUM(E26:E33),0)</f>
        <v>30</v>
      </c>
      <c r="F25" s="180">
        <f>ROUND(SUM(F26:F33),0)</f>
        <v>30</v>
      </c>
      <c r="G25" s="180">
        <f>ROUND(SUM(G26:G33),0)</f>
        <v>30</v>
      </c>
      <c r="H25" s="180">
        <f>ROUND(SUM(H26:H33),0)</f>
        <v>30</v>
      </c>
      <c r="I25" s="180">
        <f>ROUND(SUM(I26:I33),0)</f>
        <v>30</v>
      </c>
      <c r="J25" s="180">
        <f>ROUND(SUM(J26:J33),0)</f>
        <v>30</v>
      </c>
      <c r="K25" s="180">
        <f>ROUND(SUM(K26:K33),0)</f>
        <v>30</v>
      </c>
      <c r="L25" s="180">
        <f>ROUND(SUM(L26:L33),0)</f>
        <v>30</v>
      </c>
      <c r="M25" s="180">
        <f>ROUND(SUM(M26:M33),0)</f>
        <v>30</v>
      </c>
      <c r="N25" s="180">
        <f>ROUND(SUM(N26:N33),0)</f>
        <v>30</v>
      </c>
      <c r="O25" s="180">
        <f>ROUND(SUM(O26:O33),0)</f>
        <v>30</v>
      </c>
      <c r="P25" s="180">
        <f>ROUND(SUM(P26:P33),0)</f>
        <v>354</v>
      </c>
      <c r="Q25" s="180">
        <f t="shared" si="1"/>
        <v>-192298</v>
      </c>
    </row>
    <row r="26" spans="1:17" outlineLevel="1" x14ac:dyDescent="0.25">
      <c r="A26" s="1"/>
      <c r="B26" s="31" t="s">
        <v>517</v>
      </c>
      <c r="C26" s="174">
        <v>0</v>
      </c>
      <c r="D26" s="174">
        <f>VLOOKUP($B26,'CAM est 2017'!$A$6:$P$20,5,FALSE)</f>
        <v>17.5</v>
      </c>
      <c r="E26" s="174">
        <f>VLOOKUP($B$26,'CAM est 2017'!$A$6:$P$20,5,FALSE)</f>
        <v>17.5</v>
      </c>
      <c r="F26" s="174">
        <f>VLOOKUP($B$26,'CAM est 2017'!$A$6:$P$20,5,FALSE)</f>
        <v>17.5</v>
      </c>
      <c r="G26" s="174">
        <f>VLOOKUP($B$26,'CAM est 2017'!$A$6:$P$20,5,FALSE)</f>
        <v>17.5</v>
      </c>
      <c r="H26" s="174">
        <f>VLOOKUP($B$26,'CAM est 2017'!$A$6:$P$20,5,FALSE)</f>
        <v>17.5</v>
      </c>
      <c r="I26" s="174">
        <f>VLOOKUP($B$26,'CAM est 2017'!$A$6:$P$20,5,FALSE)</f>
        <v>17.5</v>
      </c>
      <c r="J26" s="174">
        <f>VLOOKUP($B$26,'CAM est 2017'!$A$6:$P$20,5,FALSE)</f>
        <v>17.5</v>
      </c>
      <c r="K26" s="174">
        <f>VLOOKUP($B$26,'CAM est 2017'!$A$6:$P$20,5,FALSE)</f>
        <v>17.5</v>
      </c>
      <c r="L26" s="174">
        <f>VLOOKUP($B$26,'CAM est 2017'!$A$6:$P$20,5,FALSE)</f>
        <v>17.5</v>
      </c>
      <c r="M26" s="174">
        <f>VLOOKUP($B$26,'CAM est 2017'!$A$6:$P$20,5,FALSE)</f>
        <v>17.5</v>
      </c>
      <c r="N26" s="174">
        <f>VLOOKUP($B$26,'CAM est 2017'!$A$6:$P$20,5,FALSE)</f>
        <v>17.5</v>
      </c>
      <c r="O26" s="174">
        <f>VLOOKUP($B$26,'CAM est 2017'!$A$6:$P$20,5,FALSE)</f>
        <v>17.5</v>
      </c>
      <c r="P26" s="174">
        <f t="shared" ref="P26:P33" si="2">SUM(D26:O26)</f>
        <v>210</v>
      </c>
      <c r="Q26" s="174">
        <f t="shared" si="1"/>
        <v>210</v>
      </c>
    </row>
    <row r="27" spans="1:17" outlineLevel="1" x14ac:dyDescent="0.25">
      <c r="A27" s="1"/>
      <c r="B27" s="31" t="s">
        <v>519</v>
      </c>
      <c r="C27" s="174">
        <v>0</v>
      </c>
      <c r="D27" s="174">
        <f>VLOOKUP($B27,'CAM est 2017'!$A$6:$P$20,5,FALSE)</f>
        <v>12</v>
      </c>
      <c r="E27" s="174">
        <f>VLOOKUP($B27,'CAM est 2017'!$A$6:$P$20,5,FALSE)</f>
        <v>12</v>
      </c>
      <c r="F27" s="174">
        <f>VLOOKUP($B27,'CAM est 2017'!$A$6:$P$20,5,FALSE)</f>
        <v>12</v>
      </c>
      <c r="G27" s="174">
        <f>VLOOKUP($B27,'CAM est 2017'!$A$6:$P$20,5,FALSE)</f>
        <v>12</v>
      </c>
      <c r="H27" s="174">
        <f>VLOOKUP($B27,'CAM est 2017'!$A$6:$P$20,5,FALSE)</f>
        <v>12</v>
      </c>
      <c r="I27" s="174">
        <f>VLOOKUP($B27,'CAM est 2017'!$A$6:$P$20,5,FALSE)</f>
        <v>12</v>
      </c>
      <c r="J27" s="174">
        <f>VLOOKUP($B27,'CAM est 2017'!$A$6:$P$20,5,FALSE)</f>
        <v>12</v>
      </c>
      <c r="K27" s="174">
        <f>VLOOKUP($B27,'CAM est 2017'!$A$6:$P$20,5,FALSE)</f>
        <v>12</v>
      </c>
      <c r="L27" s="174">
        <f>VLOOKUP($B27,'CAM est 2017'!$A$6:$P$20,5,FALSE)</f>
        <v>12</v>
      </c>
      <c r="M27" s="174">
        <f>VLOOKUP($B27,'CAM est 2017'!$A$6:$P$20,5,FALSE)</f>
        <v>12</v>
      </c>
      <c r="N27" s="174">
        <f>VLOOKUP($B27,'CAM est 2017'!$A$6:$P$20,5,FALSE)</f>
        <v>12</v>
      </c>
      <c r="O27" s="174">
        <f>VLOOKUP($B27,'CAM est 2017'!$A$6:$P$20,5,FALSE)</f>
        <v>12</v>
      </c>
      <c r="P27" s="174">
        <f t="shared" si="2"/>
        <v>144</v>
      </c>
      <c r="Q27" s="174">
        <f t="shared" si="1"/>
        <v>144</v>
      </c>
    </row>
    <row r="28" spans="1:17" outlineLevel="1" x14ac:dyDescent="0.25">
      <c r="A28" s="1"/>
      <c r="B28" s="31" t="s">
        <v>520</v>
      </c>
      <c r="C28" s="174">
        <v>0</v>
      </c>
      <c r="D28" s="174">
        <f>VLOOKUP($B28,'CAM est 2017'!$A$6:$P$20,5,FALSE)</f>
        <v>0</v>
      </c>
      <c r="E28" s="174">
        <f>VLOOKUP($B28,'CAM est 2017'!$A$6:$P$20,5,FALSE)</f>
        <v>0</v>
      </c>
      <c r="F28" s="174">
        <f>VLOOKUP($B28,'CAM est 2017'!$A$6:$P$20,5,FALSE)</f>
        <v>0</v>
      </c>
      <c r="G28" s="174">
        <f>VLOOKUP($B28,'CAM est 2017'!$A$6:$P$20,5,FALSE)</f>
        <v>0</v>
      </c>
      <c r="H28" s="174">
        <f>VLOOKUP($B28,'CAM est 2017'!$A$6:$P$20,5,FALSE)</f>
        <v>0</v>
      </c>
      <c r="I28" s="174">
        <f>VLOOKUP($B28,'CAM est 2017'!$A$6:$P$20,5,FALSE)</f>
        <v>0</v>
      </c>
      <c r="J28" s="174">
        <f>VLOOKUP($B28,'CAM est 2017'!$A$6:$P$20,5,FALSE)</f>
        <v>0</v>
      </c>
      <c r="K28" s="174">
        <f>VLOOKUP($B28,'CAM est 2017'!$A$6:$P$20,5,FALSE)</f>
        <v>0</v>
      </c>
      <c r="L28" s="174">
        <f>VLOOKUP($B28,'CAM est 2017'!$A$6:$P$20,5,FALSE)</f>
        <v>0</v>
      </c>
      <c r="M28" s="174">
        <f>VLOOKUP($B28,'CAM est 2017'!$A$6:$P$20,5,FALSE)</f>
        <v>0</v>
      </c>
      <c r="N28" s="174">
        <f>VLOOKUP($B28,'CAM est 2017'!$A$6:$P$20,5,FALSE)</f>
        <v>0</v>
      </c>
      <c r="O28" s="174">
        <f>VLOOKUP($B28,'CAM est 2017'!$A$6:$P$20,5,FALSE)</f>
        <v>0</v>
      </c>
      <c r="P28" s="174">
        <f t="shared" si="2"/>
        <v>0</v>
      </c>
      <c r="Q28" s="174">
        <f t="shared" si="1"/>
        <v>0</v>
      </c>
    </row>
    <row r="29" spans="1:17" outlineLevel="1" x14ac:dyDescent="0.25">
      <c r="A29" s="1"/>
      <c r="B29" s="247" t="s">
        <v>521</v>
      </c>
      <c r="C29" s="221">
        <v>0</v>
      </c>
      <c r="D29" s="221">
        <v>0</v>
      </c>
      <c r="E29" s="221">
        <v>0</v>
      </c>
      <c r="F29" s="221">
        <v>0</v>
      </c>
      <c r="G29" s="221">
        <v>0</v>
      </c>
      <c r="H29" s="221">
        <v>0</v>
      </c>
      <c r="I29" s="221">
        <v>0</v>
      </c>
      <c r="J29" s="221">
        <v>0</v>
      </c>
      <c r="K29" s="221">
        <v>0</v>
      </c>
      <c r="L29" s="221">
        <v>0</v>
      </c>
      <c r="M29" s="221">
        <v>0</v>
      </c>
      <c r="N29" s="221">
        <v>0</v>
      </c>
      <c r="O29" s="221">
        <v>0</v>
      </c>
      <c r="P29" s="221">
        <f t="shared" si="2"/>
        <v>0</v>
      </c>
      <c r="Q29" s="221">
        <f t="shared" si="1"/>
        <v>0</v>
      </c>
    </row>
    <row r="30" spans="1:17" outlineLevel="1" x14ac:dyDescent="0.25">
      <c r="A30" s="1"/>
      <c r="B30" s="31" t="s">
        <v>522</v>
      </c>
      <c r="C30" s="174">
        <v>0</v>
      </c>
      <c r="D30" s="174">
        <f>VLOOKUP($B30,'CAM est 2017'!$A$6:$P$20,5,FALSE)</f>
        <v>0</v>
      </c>
      <c r="E30" s="174">
        <f>VLOOKUP($B30,'CAM est 2017'!$A$6:$P$20,5,FALSE)</f>
        <v>0</v>
      </c>
      <c r="F30" s="174">
        <f>VLOOKUP($B30,'CAM est 2017'!$A$6:$P$20,5,FALSE)</f>
        <v>0</v>
      </c>
      <c r="G30" s="174">
        <f>VLOOKUP($B30,'CAM est 2017'!$A$6:$P$20,5,FALSE)</f>
        <v>0</v>
      </c>
      <c r="H30" s="174">
        <f>VLOOKUP($B30,'CAM est 2017'!$A$6:$P$20,5,FALSE)</f>
        <v>0</v>
      </c>
      <c r="I30" s="174">
        <f>VLOOKUP($B30,'CAM est 2017'!$A$6:$P$20,5,FALSE)</f>
        <v>0</v>
      </c>
      <c r="J30" s="174">
        <f>VLOOKUP($B30,'CAM est 2017'!$A$6:$P$20,5,FALSE)</f>
        <v>0</v>
      </c>
      <c r="K30" s="174">
        <f>VLOOKUP($B30,'CAM est 2017'!$A$6:$P$20,5,FALSE)</f>
        <v>0</v>
      </c>
      <c r="L30" s="174">
        <f>VLOOKUP($B30,'CAM est 2017'!$A$6:$P$20,5,FALSE)</f>
        <v>0</v>
      </c>
      <c r="M30" s="174">
        <f>VLOOKUP($B30,'CAM est 2017'!$A$6:$P$20,5,FALSE)</f>
        <v>0</v>
      </c>
      <c r="N30" s="174">
        <f>VLOOKUP($B30,'CAM est 2017'!$A$6:$P$20,5,FALSE)</f>
        <v>0</v>
      </c>
      <c r="O30" s="174">
        <f>VLOOKUP($B30,'CAM est 2017'!$A$6:$P$20,5,FALSE)</f>
        <v>0</v>
      </c>
      <c r="P30" s="174">
        <f t="shared" si="2"/>
        <v>0</v>
      </c>
      <c r="Q30" s="174">
        <f t="shared" si="1"/>
        <v>0</v>
      </c>
    </row>
    <row r="31" spans="1:17" outlineLevel="1" x14ac:dyDescent="0.25">
      <c r="A31" s="1"/>
      <c r="B31" s="31" t="s">
        <v>526</v>
      </c>
      <c r="C31" s="174">
        <v>0</v>
      </c>
      <c r="D31" s="174">
        <f>VLOOKUP($B31,'CAM est 2017'!$A$6:$P$20,5,FALSE)</f>
        <v>0</v>
      </c>
      <c r="E31" s="174">
        <f>VLOOKUP($B31,'CAM est 2017'!$A$6:$P$20,5,FALSE)</f>
        <v>0</v>
      </c>
      <c r="F31" s="174">
        <f>VLOOKUP($B31,'CAM est 2017'!$A$6:$P$20,5,FALSE)</f>
        <v>0</v>
      </c>
      <c r="G31" s="174">
        <f>VLOOKUP($B31,'CAM est 2017'!$A$6:$P$20,5,FALSE)</f>
        <v>0</v>
      </c>
      <c r="H31" s="174">
        <f>VLOOKUP($B31,'CAM est 2017'!$A$6:$P$20,5,FALSE)</f>
        <v>0</v>
      </c>
      <c r="I31" s="174">
        <f>VLOOKUP($B31,'CAM est 2017'!$A$6:$P$20,5,FALSE)</f>
        <v>0</v>
      </c>
      <c r="J31" s="174">
        <f>VLOOKUP($B31,'CAM est 2017'!$A$6:$P$20,5,FALSE)</f>
        <v>0</v>
      </c>
      <c r="K31" s="174">
        <f>VLOOKUP($B31,'CAM est 2017'!$A$6:$P$20,5,FALSE)</f>
        <v>0</v>
      </c>
      <c r="L31" s="174">
        <f>VLOOKUP($B31,'CAM est 2017'!$A$6:$P$20,5,FALSE)</f>
        <v>0</v>
      </c>
      <c r="M31" s="174">
        <f>VLOOKUP($B31,'CAM est 2017'!$A$6:$P$20,5,FALSE)</f>
        <v>0</v>
      </c>
      <c r="N31" s="174">
        <f>VLOOKUP($B31,'CAM est 2017'!$A$6:$P$20,5,FALSE)</f>
        <v>0</v>
      </c>
      <c r="O31" s="174">
        <f>VLOOKUP($B31,'CAM est 2017'!$A$6:$P$20,5,FALSE)</f>
        <v>0</v>
      </c>
      <c r="P31" s="174">
        <f t="shared" si="2"/>
        <v>0</v>
      </c>
      <c r="Q31" s="174">
        <f t="shared" si="1"/>
        <v>0</v>
      </c>
    </row>
    <row r="32" spans="1:17" outlineLevel="1" x14ac:dyDescent="0.25">
      <c r="A32" s="7"/>
      <c r="B32" s="31" t="s">
        <v>523</v>
      </c>
      <c r="C32" s="174">
        <v>0</v>
      </c>
      <c r="D32" s="174">
        <f>VLOOKUP($B32,'CAM est 2017'!$A$6:$P$20,5,FALSE)</f>
        <v>0</v>
      </c>
      <c r="E32" s="174">
        <f>VLOOKUP($B32,'CAM est 2017'!$A$6:$P$20,5,FALSE)</f>
        <v>0</v>
      </c>
      <c r="F32" s="174">
        <f>VLOOKUP($B32,'CAM est 2017'!$A$6:$P$20,5,FALSE)</f>
        <v>0</v>
      </c>
      <c r="G32" s="174">
        <f>VLOOKUP($B32,'CAM est 2017'!$A$6:$P$20,5,FALSE)</f>
        <v>0</v>
      </c>
      <c r="H32" s="174">
        <f>VLOOKUP($B32,'CAM est 2017'!$A$6:$P$20,5,FALSE)</f>
        <v>0</v>
      </c>
      <c r="I32" s="174">
        <f>VLOOKUP($B32,'CAM est 2017'!$A$6:$P$20,5,FALSE)</f>
        <v>0</v>
      </c>
      <c r="J32" s="174">
        <f>VLOOKUP($B32,'CAM est 2017'!$A$6:$P$20,5,FALSE)</f>
        <v>0</v>
      </c>
      <c r="K32" s="174">
        <f>VLOOKUP($B32,'CAM est 2017'!$A$6:$P$20,5,FALSE)</f>
        <v>0</v>
      </c>
      <c r="L32" s="174">
        <f>VLOOKUP($B32,'CAM est 2017'!$A$6:$P$20,5,FALSE)</f>
        <v>0</v>
      </c>
      <c r="M32" s="174">
        <f>VLOOKUP($B32,'CAM est 2017'!$A$6:$P$20,5,FALSE)</f>
        <v>0</v>
      </c>
      <c r="N32" s="174">
        <f>VLOOKUP($B32,'CAM est 2017'!$A$6:$P$20,5,FALSE)</f>
        <v>0</v>
      </c>
      <c r="O32" s="174">
        <f>VLOOKUP($B32,'CAM est 2017'!$A$6:$P$20,5,FALSE)</f>
        <v>0</v>
      </c>
      <c r="P32" s="174">
        <f t="shared" si="2"/>
        <v>0</v>
      </c>
      <c r="Q32" s="174">
        <f t="shared" si="1"/>
        <v>0</v>
      </c>
    </row>
    <row r="33" spans="1:17" outlineLevel="1" x14ac:dyDescent="0.25">
      <c r="A33" s="7"/>
      <c r="B33" s="31" t="s">
        <v>524</v>
      </c>
      <c r="C33" s="174">
        <v>0</v>
      </c>
      <c r="D33" s="174">
        <f>VLOOKUP($B33,'CAM est 2017'!$A$6:$P$20,5,FALSE)</f>
        <v>0</v>
      </c>
      <c r="E33" s="174">
        <f>VLOOKUP($B33,'CAM est 2017'!$A$6:$P$20,5,FALSE)</f>
        <v>0</v>
      </c>
      <c r="F33" s="174">
        <f>VLOOKUP($B33,'CAM est 2017'!$A$6:$P$20,5,FALSE)</f>
        <v>0</v>
      </c>
      <c r="G33" s="174">
        <f>VLOOKUP($B33,'CAM est 2017'!$A$6:$P$20,5,FALSE)</f>
        <v>0</v>
      </c>
      <c r="H33" s="174">
        <f>VLOOKUP($B33,'CAM est 2017'!$A$6:$P$20,5,FALSE)</f>
        <v>0</v>
      </c>
      <c r="I33" s="174">
        <f>VLOOKUP($B33,'CAM est 2017'!$A$6:$P$20,5,FALSE)</f>
        <v>0</v>
      </c>
      <c r="J33" s="174">
        <f>VLOOKUP($B33,'CAM est 2017'!$A$6:$P$20,5,FALSE)</f>
        <v>0</v>
      </c>
      <c r="K33" s="174">
        <f>VLOOKUP($B33,'CAM est 2017'!$A$6:$P$20,5,FALSE)</f>
        <v>0</v>
      </c>
      <c r="L33" s="174">
        <f>VLOOKUP($B33,'CAM est 2017'!$A$6:$P$20,5,FALSE)</f>
        <v>0</v>
      </c>
      <c r="M33" s="174">
        <f>VLOOKUP($B33,'CAM est 2017'!$A$6:$P$20,5,FALSE)</f>
        <v>0</v>
      </c>
      <c r="N33" s="174">
        <f>VLOOKUP($B33,'CAM est 2017'!$A$6:$P$20,5,FALSE)</f>
        <v>0</v>
      </c>
      <c r="O33" s="174">
        <f>VLOOKUP($B33,'CAM est 2017'!$A$6:$P$20,5,FALSE)</f>
        <v>0</v>
      </c>
      <c r="P33" s="174">
        <f t="shared" si="2"/>
        <v>0</v>
      </c>
      <c r="Q33" s="174">
        <f t="shared" si="1"/>
        <v>0</v>
      </c>
    </row>
    <row r="34" spans="1:17" x14ac:dyDescent="0.25">
      <c r="A34" s="1" t="s">
        <v>17</v>
      </c>
      <c r="B34" s="5" t="s">
        <v>18</v>
      </c>
      <c r="C34" s="174">
        <v>0</v>
      </c>
      <c r="D34" s="174">
        <v>0</v>
      </c>
      <c r="E34" s="174">
        <v>0</v>
      </c>
      <c r="F34" s="174">
        <v>0</v>
      </c>
      <c r="G34" s="174">
        <v>0</v>
      </c>
      <c r="H34" s="174">
        <v>0</v>
      </c>
      <c r="I34" s="174">
        <v>0</v>
      </c>
      <c r="J34" s="174">
        <v>0</v>
      </c>
      <c r="K34" s="174">
        <v>0</v>
      </c>
      <c r="L34" s="174">
        <v>0</v>
      </c>
      <c r="M34" s="174">
        <v>0</v>
      </c>
      <c r="N34" s="174">
        <v>0</v>
      </c>
      <c r="O34" s="174">
        <v>0</v>
      </c>
      <c r="P34" s="174">
        <v>0</v>
      </c>
      <c r="Q34" s="174">
        <f t="shared" si="1"/>
        <v>0</v>
      </c>
    </row>
    <row r="35" spans="1:17" x14ac:dyDescent="0.25">
      <c r="A35" s="1" t="s">
        <v>19</v>
      </c>
      <c r="B35" s="5" t="s">
        <v>20</v>
      </c>
      <c r="C35" s="180">
        <v>297023</v>
      </c>
      <c r="D35" s="180">
        <f>ROUNDDOWN(SUM(D36:D43),0)</f>
        <v>1174</v>
      </c>
      <c r="E35" s="180">
        <f>ROUNDDOWN(SUM(E36:E43),0)</f>
        <v>1174</v>
      </c>
      <c r="F35" s="180">
        <f>ROUNDDOWN(SUM(F36:F43),0)</f>
        <v>1174</v>
      </c>
      <c r="G35" s="180">
        <f>ROUNDDOWN(SUM(G36:G43),0)</f>
        <v>1174</v>
      </c>
      <c r="H35" s="180">
        <f>ROUNDDOWN(SUM(H36:H43),0)</f>
        <v>1174</v>
      </c>
      <c r="I35" s="180">
        <f>ROUNDDOWN(SUM(I36:I43),0)</f>
        <v>1174</v>
      </c>
      <c r="J35" s="180">
        <f>ROUNDDOWN(SUM(J36:J43),0)</f>
        <v>1174</v>
      </c>
      <c r="K35" s="180">
        <f>ROUNDDOWN(SUM(K36:K43),0)</f>
        <v>1174</v>
      </c>
      <c r="L35" s="180">
        <f>ROUNDDOWN(SUM(L36:L43),0)</f>
        <v>1174</v>
      </c>
      <c r="M35" s="180">
        <f>ROUNDDOWN(SUM(M36:M43),0)</f>
        <v>1174</v>
      </c>
      <c r="N35" s="180">
        <f>ROUNDDOWN(SUM(N36:N43),0)</f>
        <v>1174</v>
      </c>
      <c r="O35" s="180">
        <f>ROUNDDOWN(SUM(O36:O43),0)</f>
        <v>1174</v>
      </c>
      <c r="P35" s="180">
        <f>ROUND(SUM(P36:P43),0)</f>
        <v>14100</v>
      </c>
      <c r="Q35" s="180">
        <f t="shared" si="1"/>
        <v>-282923</v>
      </c>
    </row>
    <row r="36" spans="1:17" outlineLevel="1" x14ac:dyDescent="0.25">
      <c r="A36" s="1"/>
      <c r="B36" s="31" t="s">
        <v>517</v>
      </c>
      <c r="C36" s="174">
        <v>0</v>
      </c>
      <c r="D36" s="174">
        <f>VLOOKUP($B36,'RETaxes 2017'!$A$6:$Q$20,5,FALSE)</f>
        <v>0</v>
      </c>
      <c r="E36" s="174">
        <f>VLOOKUP($B36,'RETaxes 2017'!$A$6:$Q$20,6,FALSE)</f>
        <v>0</v>
      </c>
      <c r="F36" s="174">
        <f>VLOOKUP($B36,'RETaxes 2017'!$A$6:$Q$20,7,FALSE)</f>
        <v>0</v>
      </c>
      <c r="G36" s="174">
        <f>VLOOKUP($B36,'RETaxes 2017'!$A$6:$Q$20,8,FALSE)</f>
        <v>0</v>
      </c>
      <c r="H36" s="174">
        <f>VLOOKUP($B36,'RETaxes 2017'!$A$6:$Q$20,9,FALSE)</f>
        <v>0</v>
      </c>
      <c r="I36" s="174">
        <f>VLOOKUP($B36,'RETaxes 2017'!$A$6:$Q$20,10,FALSE)</f>
        <v>0</v>
      </c>
      <c r="J36" s="174">
        <f>VLOOKUP($B36,'RETaxes 2017'!$A$6:$Q$20,11,FALSE)</f>
        <v>0</v>
      </c>
      <c r="K36" s="174">
        <f>VLOOKUP($B36,'RETaxes 2017'!$A$6:$Q$20,12,FALSE)</f>
        <v>0</v>
      </c>
      <c r="L36" s="174">
        <f>VLOOKUP($B36,'RETaxes 2017'!$A$6:$Q$20,13,FALSE)</f>
        <v>0</v>
      </c>
      <c r="M36" s="174">
        <f>VLOOKUP($B36,'RETaxes 2017'!$A$6:$Q$20,14,FALSE)</f>
        <v>0</v>
      </c>
      <c r="N36" s="174">
        <f>VLOOKUP($B36,'RETaxes 2017'!$A$6:$Q$20,15,FALSE)</f>
        <v>0</v>
      </c>
      <c r="O36" s="174">
        <f>VLOOKUP($B36,'RETaxes 2017'!$A$6:$Q$20,16,FALSE)</f>
        <v>0</v>
      </c>
      <c r="P36" s="174">
        <f t="shared" ref="P36:P43" si="3">SUM(D36:O36)</f>
        <v>0</v>
      </c>
      <c r="Q36" s="174">
        <f t="shared" si="1"/>
        <v>0</v>
      </c>
    </row>
    <row r="37" spans="1:17" outlineLevel="1" x14ac:dyDescent="0.25">
      <c r="A37" s="7"/>
      <c r="B37" s="31" t="s">
        <v>519</v>
      </c>
      <c r="C37" s="174">
        <v>0</v>
      </c>
      <c r="D37" s="174">
        <f>VLOOKUP($B37,'RETaxes 2017'!$A$6:$Q$20,5,FALSE)</f>
        <v>191.39</v>
      </c>
      <c r="E37" s="174">
        <f>VLOOKUP($B37,'RETaxes 2017'!$A$6:$Q$20,6,FALSE)</f>
        <v>191.39</v>
      </c>
      <c r="F37" s="174">
        <f>VLOOKUP($B37,'RETaxes 2017'!$A$6:$Q$20,7,FALSE)</f>
        <v>191.39</v>
      </c>
      <c r="G37" s="174">
        <f>VLOOKUP($B37,'RETaxes 2017'!$A$6:$Q$20,8,FALSE)</f>
        <v>191.39</v>
      </c>
      <c r="H37" s="174">
        <f>VLOOKUP($B37,'RETaxes 2017'!$A$6:$Q$20,9,FALSE)</f>
        <v>191.39</v>
      </c>
      <c r="I37" s="174">
        <f>VLOOKUP($B37,'RETaxes 2017'!$A$6:$Q$20,10,FALSE)</f>
        <v>191.39</v>
      </c>
      <c r="J37" s="174">
        <f>VLOOKUP($B37,'RETaxes 2017'!$A$6:$Q$20,11,FALSE)</f>
        <v>191.39</v>
      </c>
      <c r="K37" s="174">
        <f>VLOOKUP($B37,'RETaxes 2017'!$A$6:$Q$20,12,FALSE)</f>
        <v>191.39</v>
      </c>
      <c r="L37" s="174">
        <f>VLOOKUP($B37,'RETaxes 2017'!$A$6:$Q$20,13,FALSE)</f>
        <v>191.39</v>
      </c>
      <c r="M37" s="174">
        <f>VLOOKUP($B37,'RETaxes 2017'!$A$6:$Q$20,14,FALSE)</f>
        <v>191.39</v>
      </c>
      <c r="N37" s="174">
        <f>VLOOKUP($B37,'RETaxes 2017'!$A$6:$Q$20,15,FALSE)</f>
        <v>191.39</v>
      </c>
      <c r="O37" s="174">
        <f>VLOOKUP($B37,'RETaxes 2017'!$A$6:$Q$20,16,FALSE)</f>
        <v>191.39</v>
      </c>
      <c r="P37" s="174">
        <f t="shared" si="3"/>
        <v>2296.6799999999994</v>
      </c>
      <c r="Q37" s="174">
        <f t="shared" si="1"/>
        <v>2296.6799999999994</v>
      </c>
    </row>
    <row r="38" spans="1:17" outlineLevel="1" x14ac:dyDescent="0.25">
      <c r="A38" s="7"/>
      <c r="B38" s="31" t="s">
        <v>520</v>
      </c>
      <c r="C38" s="174">
        <v>0</v>
      </c>
      <c r="D38" s="174">
        <f>VLOOKUP($B38,'RETaxes 2017'!$A$6:$Q$20,5,FALSE)</f>
        <v>983.57</v>
      </c>
      <c r="E38" s="174">
        <f>VLOOKUP($B38,'RETaxes 2017'!$A$6:$Q$20,6,FALSE)</f>
        <v>983.57</v>
      </c>
      <c r="F38" s="174">
        <f>VLOOKUP($B38,'RETaxes 2017'!$A$6:$Q$20,7,FALSE)</f>
        <v>983.57</v>
      </c>
      <c r="G38" s="174">
        <f>VLOOKUP($B38,'RETaxes 2017'!$A$6:$Q$20,8,FALSE)</f>
        <v>983.57</v>
      </c>
      <c r="H38" s="174">
        <f>VLOOKUP($B38,'RETaxes 2017'!$A$6:$Q$20,9,FALSE)</f>
        <v>983.57</v>
      </c>
      <c r="I38" s="174">
        <f>VLOOKUP($B38,'RETaxes 2017'!$A$6:$Q$20,10,FALSE)</f>
        <v>983.57</v>
      </c>
      <c r="J38" s="174">
        <f>VLOOKUP($B38,'RETaxes 2017'!$A$6:$Q$20,11,FALSE)</f>
        <v>983.57</v>
      </c>
      <c r="K38" s="174">
        <f>VLOOKUP($B38,'RETaxes 2017'!$A$6:$Q$20,12,FALSE)</f>
        <v>983.57</v>
      </c>
      <c r="L38" s="174">
        <f>VLOOKUP($B38,'RETaxes 2017'!$A$6:$Q$20,13,FALSE)</f>
        <v>983.57</v>
      </c>
      <c r="M38" s="174">
        <f>VLOOKUP($B38,'RETaxes 2017'!$A$6:$Q$20,14,FALSE)</f>
        <v>983.57</v>
      </c>
      <c r="N38" s="174">
        <f>VLOOKUP($B38,'RETaxes 2017'!$A$6:$Q$20,15,FALSE)</f>
        <v>983.57</v>
      </c>
      <c r="O38" s="174">
        <f>VLOOKUP($B38,'RETaxes 2017'!$A$6:$Q$20,16,FALSE)</f>
        <v>983.57</v>
      </c>
      <c r="P38" s="174">
        <f t="shared" si="3"/>
        <v>11802.839999999998</v>
      </c>
      <c r="Q38" s="174">
        <f t="shared" si="1"/>
        <v>11802.839999999998</v>
      </c>
    </row>
    <row r="39" spans="1:17" outlineLevel="1" x14ac:dyDescent="0.25">
      <c r="A39" s="7"/>
      <c r="B39" s="31" t="s">
        <v>521</v>
      </c>
      <c r="C39" s="174">
        <v>0</v>
      </c>
      <c r="D39" s="174">
        <f>VLOOKUP($B39,'RETaxes 2017'!$A$6:$Q$20,5,FALSE)</f>
        <v>0</v>
      </c>
      <c r="E39" s="174">
        <f>VLOOKUP($B39,'RETaxes 2017'!$A$6:$Q$20,6,FALSE)</f>
        <v>0</v>
      </c>
      <c r="F39" s="174">
        <f>VLOOKUP($B39,'RETaxes 2017'!$A$6:$Q$20,7,FALSE)</f>
        <v>0</v>
      </c>
      <c r="G39" s="174">
        <f>VLOOKUP($B39,'RETaxes 2017'!$A$6:$Q$20,8,FALSE)</f>
        <v>0</v>
      </c>
      <c r="H39" s="174">
        <f>VLOOKUP($B39,'RETaxes 2017'!$A$6:$Q$20,9,FALSE)</f>
        <v>0</v>
      </c>
      <c r="I39" s="174">
        <f>VLOOKUP($B39,'RETaxes 2017'!$A$6:$Q$20,10,FALSE)</f>
        <v>0</v>
      </c>
      <c r="J39" s="174">
        <f>VLOOKUP($B39,'RETaxes 2017'!$A$6:$Q$20,11,FALSE)</f>
        <v>0</v>
      </c>
      <c r="K39" s="174">
        <f>VLOOKUP($B39,'RETaxes 2017'!$A$6:$Q$20,12,FALSE)</f>
        <v>0</v>
      </c>
      <c r="L39" s="174">
        <f>VLOOKUP($B39,'RETaxes 2017'!$A$6:$Q$20,13,FALSE)</f>
        <v>0</v>
      </c>
      <c r="M39" s="174">
        <f>VLOOKUP($B39,'RETaxes 2017'!$A$6:$Q$20,14,FALSE)</f>
        <v>0</v>
      </c>
      <c r="N39" s="174">
        <f>VLOOKUP($B39,'RETaxes 2017'!$A$6:$Q$20,15,FALSE)</f>
        <v>0</v>
      </c>
      <c r="O39" s="174">
        <f>VLOOKUP($B39,'RETaxes 2017'!$A$6:$Q$20,16,FALSE)</f>
        <v>0</v>
      </c>
      <c r="P39" s="174">
        <f t="shared" si="3"/>
        <v>0</v>
      </c>
      <c r="Q39" s="174">
        <f t="shared" si="1"/>
        <v>0</v>
      </c>
    </row>
    <row r="40" spans="1:17" outlineLevel="1" x14ac:dyDescent="0.25">
      <c r="A40" s="7"/>
      <c r="B40" s="31" t="s">
        <v>522</v>
      </c>
      <c r="C40" s="174">
        <v>0</v>
      </c>
      <c r="D40" s="174">
        <f>VLOOKUP($B40,'RETaxes 2017'!$A$6:$Q$20,5,FALSE)</f>
        <v>0</v>
      </c>
      <c r="E40" s="174">
        <f>VLOOKUP($B40,'RETaxes 2017'!$A$6:$Q$20,6,FALSE)</f>
        <v>0</v>
      </c>
      <c r="F40" s="174">
        <f>VLOOKUP($B40,'RETaxes 2017'!$A$6:$Q$20,7,FALSE)</f>
        <v>0</v>
      </c>
      <c r="G40" s="174">
        <f>VLOOKUP($B40,'RETaxes 2017'!$A$6:$Q$20,8,FALSE)</f>
        <v>0</v>
      </c>
      <c r="H40" s="174">
        <f>VLOOKUP($B40,'RETaxes 2017'!$A$6:$Q$20,9,FALSE)</f>
        <v>0</v>
      </c>
      <c r="I40" s="174">
        <f>VLOOKUP($B40,'RETaxes 2017'!$A$6:$Q$20,10,FALSE)</f>
        <v>0</v>
      </c>
      <c r="J40" s="174">
        <f>VLOOKUP($B40,'RETaxes 2017'!$A$6:$Q$20,11,FALSE)</f>
        <v>0</v>
      </c>
      <c r="K40" s="174">
        <f>VLOOKUP($B40,'RETaxes 2017'!$A$6:$Q$20,12,FALSE)</f>
        <v>0</v>
      </c>
      <c r="L40" s="174">
        <f>VLOOKUP($B40,'RETaxes 2017'!$A$6:$Q$20,13,FALSE)</f>
        <v>0</v>
      </c>
      <c r="M40" s="174">
        <f>VLOOKUP($B40,'RETaxes 2017'!$A$6:$Q$20,14,FALSE)</f>
        <v>0</v>
      </c>
      <c r="N40" s="174">
        <f>VLOOKUP($B40,'RETaxes 2017'!$A$6:$Q$20,15,FALSE)</f>
        <v>0</v>
      </c>
      <c r="O40" s="174">
        <f>VLOOKUP($B40,'RETaxes 2017'!$A$6:$Q$20,16,FALSE)</f>
        <v>0</v>
      </c>
      <c r="P40" s="174">
        <f t="shared" si="3"/>
        <v>0</v>
      </c>
      <c r="Q40" s="174">
        <f t="shared" si="1"/>
        <v>0</v>
      </c>
    </row>
    <row r="41" spans="1:17" outlineLevel="1" x14ac:dyDescent="0.25">
      <c r="A41" s="7"/>
      <c r="B41" s="31" t="s">
        <v>526</v>
      </c>
      <c r="C41" s="174">
        <v>0</v>
      </c>
      <c r="D41" s="174">
        <f>VLOOKUP($B41,'RETaxes 2017'!$A$6:$Q$20,5,FALSE)</f>
        <v>0</v>
      </c>
      <c r="E41" s="174">
        <f>VLOOKUP($B41,'RETaxes 2017'!$A$6:$Q$20,6,FALSE)</f>
        <v>0</v>
      </c>
      <c r="F41" s="174">
        <f>VLOOKUP($B41,'RETaxes 2017'!$A$6:$Q$20,7,FALSE)</f>
        <v>0</v>
      </c>
      <c r="G41" s="174">
        <f>VLOOKUP($B41,'RETaxes 2017'!$A$6:$Q$20,8,FALSE)</f>
        <v>0</v>
      </c>
      <c r="H41" s="174">
        <f>VLOOKUP($B41,'RETaxes 2017'!$A$6:$Q$20,9,FALSE)</f>
        <v>0</v>
      </c>
      <c r="I41" s="174">
        <f>VLOOKUP($B41,'RETaxes 2017'!$A$6:$Q$20,10,FALSE)</f>
        <v>0</v>
      </c>
      <c r="J41" s="174">
        <f>VLOOKUP($B41,'RETaxes 2017'!$A$6:$Q$20,11,FALSE)</f>
        <v>0</v>
      </c>
      <c r="K41" s="174">
        <f>VLOOKUP($B41,'RETaxes 2017'!$A$6:$Q$20,12,FALSE)</f>
        <v>0</v>
      </c>
      <c r="L41" s="174">
        <f>VLOOKUP($B41,'RETaxes 2017'!$A$6:$Q$20,13,FALSE)</f>
        <v>0</v>
      </c>
      <c r="M41" s="174">
        <f>VLOOKUP($B41,'RETaxes 2017'!$A$6:$Q$20,14,FALSE)</f>
        <v>0</v>
      </c>
      <c r="N41" s="174">
        <f>VLOOKUP($B41,'RETaxes 2017'!$A$6:$Q$20,15,FALSE)</f>
        <v>0</v>
      </c>
      <c r="O41" s="174">
        <f>VLOOKUP($B41,'RETaxes 2017'!$A$6:$Q$20,16,FALSE)</f>
        <v>0</v>
      </c>
      <c r="P41" s="174">
        <f t="shared" si="3"/>
        <v>0</v>
      </c>
      <c r="Q41" s="174">
        <f t="shared" si="1"/>
        <v>0</v>
      </c>
    </row>
    <row r="42" spans="1:17" outlineLevel="1" x14ac:dyDescent="0.25">
      <c r="A42" s="7"/>
      <c r="B42" s="31" t="s">
        <v>523</v>
      </c>
      <c r="C42" s="174">
        <v>0</v>
      </c>
      <c r="D42" s="174">
        <f>VLOOKUP($B42,'RETaxes 2017'!$A$6:$Q$20,5,FALSE)</f>
        <v>0</v>
      </c>
      <c r="E42" s="174">
        <f>VLOOKUP($B42,'RETaxes 2017'!$A$6:$Q$20,6,FALSE)</f>
        <v>0</v>
      </c>
      <c r="F42" s="174">
        <f>VLOOKUP($B42,'RETaxes 2017'!$A$6:$Q$20,7,FALSE)</f>
        <v>0</v>
      </c>
      <c r="G42" s="174">
        <f>VLOOKUP($B42,'RETaxes 2017'!$A$6:$Q$20,8,FALSE)</f>
        <v>0</v>
      </c>
      <c r="H42" s="174">
        <f>VLOOKUP($B42,'RETaxes 2017'!$A$6:$Q$20,9,FALSE)</f>
        <v>0</v>
      </c>
      <c r="I42" s="174">
        <f>VLOOKUP($B42,'RETaxes 2017'!$A$6:$Q$20,10,FALSE)</f>
        <v>0</v>
      </c>
      <c r="J42" s="174">
        <f>VLOOKUP($B42,'RETaxes 2017'!$A$6:$Q$20,11,FALSE)</f>
        <v>0</v>
      </c>
      <c r="K42" s="174">
        <f>VLOOKUP($B42,'RETaxes 2017'!$A$6:$Q$20,12,FALSE)</f>
        <v>0</v>
      </c>
      <c r="L42" s="174">
        <f>VLOOKUP($B42,'RETaxes 2017'!$A$6:$Q$20,13,FALSE)</f>
        <v>0</v>
      </c>
      <c r="M42" s="174">
        <f>VLOOKUP($B42,'RETaxes 2017'!$A$6:$Q$20,14,FALSE)</f>
        <v>0</v>
      </c>
      <c r="N42" s="174">
        <f>VLOOKUP($B42,'RETaxes 2017'!$A$6:$Q$20,15,FALSE)</f>
        <v>0</v>
      </c>
      <c r="O42" s="174">
        <f>VLOOKUP($B42,'RETaxes 2017'!$A$6:$Q$20,16,FALSE)</f>
        <v>0</v>
      </c>
      <c r="P42" s="174">
        <f t="shared" si="3"/>
        <v>0</v>
      </c>
      <c r="Q42" s="174">
        <f t="shared" si="1"/>
        <v>0</v>
      </c>
    </row>
    <row r="43" spans="1:17" outlineLevel="1" x14ac:dyDescent="0.25">
      <c r="A43" s="7"/>
      <c r="B43" s="31" t="s">
        <v>524</v>
      </c>
      <c r="C43" s="174">
        <v>0</v>
      </c>
      <c r="D43" s="174">
        <f>VLOOKUP($B43,'RETaxes 2017'!$A$6:$Q$20,5,FALSE)</f>
        <v>0</v>
      </c>
      <c r="E43" s="174">
        <f>VLOOKUP($B43,'RETaxes 2017'!$A$6:$Q$20,6,FALSE)</f>
        <v>0</v>
      </c>
      <c r="F43" s="174">
        <f>VLOOKUP($B43,'RETaxes 2017'!$A$6:$Q$20,7,FALSE)</f>
        <v>0</v>
      </c>
      <c r="G43" s="174">
        <f>VLOOKUP($B43,'RETaxes 2017'!$A$6:$Q$20,8,FALSE)</f>
        <v>0</v>
      </c>
      <c r="H43" s="174">
        <f>VLOOKUP($B43,'RETaxes 2017'!$A$6:$Q$20,9,FALSE)</f>
        <v>0</v>
      </c>
      <c r="I43" s="174">
        <f>VLOOKUP($B43,'RETaxes 2017'!$A$6:$Q$20,10,FALSE)</f>
        <v>0</v>
      </c>
      <c r="J43" s="174">
        <f>VLOOKUP($B43,'RETaxes 2017'!$A$6:$Q$20,11,FALSE)</f>
        <v>0</v>
      </c>
      <c r="K43" s="174">
        <f>VLOOKUP($B43,'RETaxes 2017'!$A$6:$Q$20,12,FALSE)</f>
        <v>0</v>
      </c>
      <c r="L43" s="174">
        <f>VLOOKUP($B43,'RETaxes 2017'!$A$6:$Q$20,13,FALSE)</f>
        <v>0</v>
      </c>
      <c r="M43" s="174">
        <f>VLOOKUP($B43,'RETaxes 2017'!$A$6:$Q$20,14,FALSE)</f>
        <v>0</v>
      </c>
      <c r="N43" s="174">
        <f>VLOOKUP($B43,'RETaxes 2017'!$A$6:$Q$20,15,FALSE)</f>
        <v>0</v>
      </c>
      <c r="O43" s="174">
        <f>VLOOKUP($B43,'RETaxes 2017'!$A$6:$Q$20,16,FALSE)</f>
        <v>0</v>
      </c>
      <c r="P43" s="174">
        <f t="shared" si="3"/>
        <v>0</v>
      </c>
      <c r="Q43" s="174">
        <f t="shared" si="1"/>
        <v>0</v>
      </c>
    </row>
    <row r="44" spans="1:17" x14ac:dyDescent="0.25">
      <c r="A44" s="1" t="s">
        <v>21</v>
      </c>
      <c r="B44" s="5" t="s">
        <v>22</v>
      </c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>
        <v>0</v>
      </c>
      <c r="Q44" s="174" t="str">
        <f t="shared" si="1"/>
        <v/>
      </c>
    </row>
    <row r="45" spans="1:17" x14ac:dyDescent="0.25">
      <c r="A45" s="1" t="s">
        <v>23</v>
      </c>
      <c r="B45" s="5" t="s">
        <v>24</v>
      </c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>
        <v>0</v>
      </c>
      <c r="Q45" s="174" t="str">
        <f t="shared" si="1"/>
        <v/>
      </c>
    </row>
    <row r="46" spans="1:17" x14ac:dyDescent="0.25">
      <c r="A46" s="1" t="s">
        <v>25</v>
      </c>
      <c r="B46" s="5" t="s">
        <v>26</v>
      </c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>
        <v>0</v>
      </c>
      <c r="Q46" s="174" t="str">
        <f t="shared" si="1"/>
        <v/>
      </c>
    </row>
    <row r="47" spans="1:17" ht="15.75" thickBot="1" x14ac:dyDescent="0.3">
      <c r="A47" s="1" t="s">
        <v>27</v>
      </c>
      <c r="B47" s="5" t="s">
        <v>28</v>
      </c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>
        <v>0</v>
      </c>
      <c r="Q47" s="174" t="str">
        <f t="shared" si="1"/>
        <v/>
      </c>
    </row>
    <row r="48" spans="1:17" s="121" customFormat="1" x14ac:dyDescent="0.25">
      <c r="A48" s="6" t="s">
        <v>29</v>
      </c>
      <c r="B48" s="3" t="s">
        <v>30</v>
      </c>
      <c r="C48" s="176">
        <f>SUM(C44:C47,C35,C34,C25,C24)</f>
        <v>489675</v>
      </c>
      <c r="D48" s="176">
        <f>SUM(D44:D47,D35,D34,D25,D24)</f>
        <v>1204</v>
      </c>
      <c r="E48" s="176">
        <f>SUM(E44:E47,E35,E34,E25,E24)</f>
        <v>1204</v>
      </c>
      <c r="F48" s="176">
        <f>SUM(F44:F47,F35,F34,F25,F24)</f>
        <v>1204</v>
      </c>
      <c r="G48" s="176">
        <f>SUM(G44:G47,G35,G34,G25,G24)</f>
        <v>1204</v>
      </c>
      <c r="H48" s="176">
        <f>SUM(H44:H47,H35,H34,H25,H24)</f>
        <v>1204</v>
      </c>
      <c r="I48" s="176">
        <f>SUM(I44:I47,I35,I34,I25,I24)</f>
        <v>1204</v>
      </c>
      <c r="J48" s="176">
        <f>SUM(J44:J47,J35,J34,J25,J24)</f>
        <v>1204</v>
      </c>
      <c r="K48" s="176">
        <f>SUM(K44:K47,K35,K34,K25,K24)</f>
        <v>1204</v>
      </c>
      <c r="L48" s="176">
        <f>SUM(L44:L47,L35,L34,L25,L24)</f>
        <v>1204</v>
      </c>
      <c r="M48" s="176">
        <f>SUM(M44:M47,M35,M34,M25,M24)</f>
        <v>1204</v>
      </c>
      <c r="N48" s="176">
        <f>SUM(N44:N47,N35,N34,N25,N24)</f>
        <v>1204</v>
      </c>
      <c r="O48" s="176">
        <f>SUM(O44:O47,O35,O34,O25,O24)</f>
        <v>1204</v>
      </c>
      <c r="P48" s="176">
        <f>SUM(P44:P47,P35,P34,P25,P24)</f>
        <v>14454</v>
      </c>
      <c r="Q48" s="176">
        <f t="shared" si="1"/>
        <v>-475221</v>
      </c>
    </row>
    <row r="49" spans="1:17" x14ac:dyDescent="0.25">
      <c r="A49" s="1"/>
      <c r="B49" s="5"/>
      <c r="C49" s="179"/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 t="str">
        <f t="shared" si="1"/>
        <v/>
      </c>
    </row>
    <row r="50" spans="1:17" x14ac:dyDescent="0.25">
      <c r="A50" s="1" t="s">
        <v>31</v>
      </c>
      <c r="B50" s="5" t="s">
        <v>32</v>
      </c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 t="str">
        <f t="shared" si="1"/>
        <v/>
      </c>
    </row>
    <row r="51" spans="1:17" x14ac:dyDescent="0.25">
      <c r="A51" s="1" t="s">
        <v>33</v>
      </c>
      <c r="B51" s="5" t="s">
        <v>34</v>
      </c>
      <c r="C51" s="174">
        <v>0</v>
      </c>
      <c r="D51" s="174">
        <v>0</v>
      </c>
      <c r="E51" s="174">
        <v>0</v>
      </c>
      <c r="F51" s="174">
        <v>0</v>
      </c>
      <c r="G51" s="174">
        <v>0</v>
      </c>
      <c r="H51" s="174">
        <v>0</v>
      </c>
      <c r="I51" s="174">
        <v>0</v>
      </c>
      <c r="J51" s="174">
        <v>0</v>
      </c>
      <c r="K51" s="174">
        <v>0</v>
      </c>
      <c r="L51" s="174">
        <v>0</v>
      </c>
      <c r="M51" s="174">
        <v>0</v>
      </c>
      <c r="N51" s="174">
        <v>0</v>
      </c>
      <c r="O51" s="174">
        <v>0</v>
      </c>
      <c r="P51" s="174">
        <f>SUM(D51:O51)</f>
        <v>0</v>
      </c>
      <c r="Q51" s="174">
        <f t="shared" si="1"/>
        <v>0</v>
      </c>
    </row>
    <row r="52" spans="1:17" x14ac:dyDescent="0.25">
      <c r="A52" s="1" t="s">
        <v>35</v>
      </c>
      <c r="B52" s="5" t="s">
        <v>36</v>
      </c>
      <c r="C52" s="174">
        <v>0</v>
      </c>
      <c r="D52" s="174">
        <v>0</v>
      </c>
      <c r="E52" s="174">
        <v>0</v>
      </c>
      <c r="F52" s="174">
        <v>0</v>
      </c>
      <c r="G52" s="174">
        <v>0</v>
      </c>
      <c r="H52" s="174">
        <v>0</v>
      </c>
      <c r="I52" s="174">
        <v>0</v>
      </c>
      <c r="J52" s="174">
        <v>0</v>
      </c>
      <c r="K52" s="174">
        <v>0</v>
      </c>
      <c r="L52" s="174">
        <v>0</v>
      </c>
      <c r="M52" s="174">
        <v>0</v>
      </c>
      <c r="N52" s="174">
        <v>0</v>
      </c>
      <c r="O52" s="174">
        <v>0</v>
      </c>
      <c r="P52" s="174">
        <f>SUM(D52:O52)</f>
        <v>0</v>
      </c>
      <c r="Q52" s="174">
        <f t="shared" si="1"/>
        <v>0</v>
      </c>
    </row>
    <row r="53" spans="1:17" x14ac:dyDescent="0.25">
      <c r="A53" s="1"/>
      <c r="B53" s="5" t="s">
        <v>390</v>
      </c>
      <c r="C53" s="174">
        <v>0</v>
      </c>
      <c r="D53" s="174">
        <v>0</v>
      </c>
      <c r="E53" s="174">
        <v>0</v>
      </c>
      <c r="F53" s="174">
        <v>0</v>
      </c>
      <c r="G53" s="174">
        <v>0</v>
      </c>
      <c r="H53" s="174">
        <v>0</v>
      </c>
      <c r="I53" s="174">
        <v>0</v>
      </c>
      <c r="J53" s="174">
        <v>0</v>
      </c>
      <c r="K53" s="174">
        <v>0</v>
      </c>
      <c r="L53" s="174">
        <v>0</v>
      </c>
      <c r="M53" s="174">
        <v>0</v>
      </c>
      <c r="N53" s="174">
        <v>0</v>
      </c>
      <c r="O53" s="174">
        <v>0</v>
      </c>
      <c r="P53" s="174">
        <f>SUM(D53:O53)</f>
        <v>0</v>
      </c>
      <c r="Q53" s="174">
        <f t="shared" si="1"/>
        <v>0</v>
      </c>
    </row>
    <row r="54" spans="1:17" x14ac:dyDescent="0.25">
      <c r="A54" s="1"/>
      <c r="B54" s="5" t="s">
        <v>389</v>
      </c>
      <c r="C54" s="174">
        <f t="shared" ref="C54:O54" si="4">$P$54/12</f>
        <v>0</v>
      </c>
      <c r="D54" s="174">
        <f t="shared" si="4"/>
        <v>0</v>
      </c>
      <c r="E54" s="174">
        <f t="shared" si="4"/>
        <v>0</v>
      </c>
      <c r="F54" s="174">
        <f t="shared" si="4"/>
        <v>0</v>
      </c>
      <c r="G54" s="174">
        <f t="shared" si="4"/>
        <v>0</v>
      </c>
      <c r="H54" s="174">
        <f t="shared" si="4"/>
        <v>0</v>
      </c>
      <c r="I54" s="174">
        <f t="shared" si="4"/>
        <v>0</v>
      </c>
      <c r="J54" s="174">
        <f t="shared" si="4"/>
        <v>0</v>
      </c>
      <c r="K54" s="174">
        <f t="shared" si="4"/>
        <v>0</v>
      </c>
      <c r="L54" s="174">
        <f t="shared" si="4"/>
        <v>0</v>
      </c>
      <c r="M54" s="174">
        <f t="shared" si="4"/>
        <v>0</v>
      </c>
      <c r="N54" s="174">
        <f t="shared" si="4"/>
        <v>0</v>
      </c>
      <c r="O54" s="174">
        <f t="shared" si="4"/>
        <v>0</v>
      </c>
      <c r="P54" s="174">
        <v>0</v>
      </c>
      <c r="Q54" s="174">
        <f t="shared" ref="Q54:Q124" si="5">IF(C54&lt;&gt;"",P54-C54,"")</f>
        <v>0</v>
      </c>
    </row>
    <row r="55" spans="1:17" ht="15.75" thickBot="1" x14ac:dyDescent="0.3">
      <c r="A55" s="1"/>
      <c r="B55" s="5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 t="str">
        <f t="shared" si="5"/>
        <v/>
      </c>
    </row>
    <row r="56" spans="1:17" s="121" customFormat="1" x14ac:dyDescent="0.25">
      <c r="A56" s="6" t="s">
        <v>37</v>
      </c>
      <c r="B56" s="3" t="s">
        <v>38</v>
      </c>
      <c r="C56" s="176">
        <f t="shared" ref="C56:O56" si="6">SUM(C51:C55)</f>
        <v>0</v>
      </c>
      <c r="D56" s="176">
        <f t="shared" si="6"/>
        <v>0</v>
      </c>
      <c r="E56" s="176">
        <f t="shared" si="6"/>
        <v>0</v>
      </c>
      <c r="F56" s="176">
        <f t="shared" si="6"/>
        <v>0</v>
      </c>
      <c r="G56" s="176">
        <f t="shared" si="6"/>
        <v>0</v>
      </c>
      <c r="H56" s="176">
        <f t="shared" si="6"/>
        <v>0</v>
      </c>
      <c r="I56" s="176">
        <f t="shared" si="6"/>
        <v>0</v>
      </c>
      <c r="J56" s="176">
        <f t="shared" si="6"/>
        <v>0</v>
      </c>
      <c r="K56" s="176">
        <f t="shared" si="6"/>
        <v>0</v>
      </c>
      <c r="L56" s="176">
        <f t="shared" si="6"/>
        <v>0</v>
      </c>
      <c r="M56" s="176">
        <f t="shared" si="6"/>
        <v>0</v>
      </c>
      <c r="N56" s="176">
        <f t="shared" si="6"/>
        <v>0</v>
      </c>
      <c r="O56" s="176">
        <f t="shared" si="6"/>
        <v>0</v>
      </c>
      <c r="P56" s="176">
        <f>SUM(P51:P55)</f>
        <v>0</v>
      </c>
      <c r="Q56" s="176">
        <f t="shared" si="5"/>
        <v>0</v>
      </c>
    </row>
    <row r="57" spans="1:17" ht="15.75" thickBot="1" x14ac:dyDescent="0.3">
      <c r="A57" s="1"/>
      <c r="B57" s="5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 t="str">
        <f t="shared" si="5"/>
        <v/>
      </c>
    </row>
    <row r="58" spans="1:17" s="121" customFormat="1" x14ac:dyDescent="0.25">
      <c r="A58" s="6" t="s">
        <v>39</v>
      </c>
      <c r="B58" s="3" t="s">
        <v>40</v>
      </c>
      <c r="C58" s="176">
        <f>SUM(C56,C48,C21)</f>
        <v>849355.69</v>
      </c>
      <c r="D58" s="176">
        <f>SUM(D56,D48,D21)</f>
        <v>26128.14</v>
      </c>
      <c r="E58" s="176">
        <f>SUM(E56,E48,E21)</f>
        <v>26128.14</v>
      </c>
      <c r="F58" s="176">
        <f>SUM(F56,F48,F21)</f>
        <v>26128.14</v>
      </c>
      <c r="G58" s="176">
        <f>SUM(G56,G48,G21)</f>
        <v>26128.14</v>
      </c>
      <c r="H58" s="176">
        <f>SUM(H56,H48,H21)</f>
        <v>26331.31</v>
      </c>
      <c r="I58" s="176">
        <f>SUM(I56,I48,I21)</f>
        <v>26415.31</v>
      </c>
      <c r="J58" s="176">
        <f>SUM(J56,J48,J21)</f>
        <v>26415.31</v>
      </c>
      <c r="K58" s="176">
        <f>SUM(K56,K48,K21)</f>
        <v>26415.31</v>
      </c>
      <c r="L58" s="176">
        <f>SUM(L56,L48,L21)</f>
        <v>26415.31</v>
      </c>
      <c r="M58" s="176">
        <f>SUM(M56,M48,M21)</f>
        <v>26415.31</v>
      </c>
      <c r="N58" s="176">
        <f>SUM(N56,N48,N21)</f>
        <v>26501.83</v>
      </c>
      <c r="O58" s="176">
        <f>SUM(O56,O48,O21)</f>
        <v>26501.83</v>
      </c>
      <c r="P58" s="176">
        <f>SUM(P56,P48,P21)</f>
        <v>315930.07999999996</v>
      </c>
      <c r="Q58" s="176">
        <f t="shared" si="5"/>
        <v>-533425.61</v>
      </c>
    </row>
    <row r="59" spans="1:17" x14ac:dyDescent="0.25">
      <c r="A59" s="1"/>
      <c r="B59" s="5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 t="str">
        <f t="shared" si="5"/>
        <v/>
      </c>
    </row>
    <row r="60" spans="1:17" x14ac:dyDescent="0.25">
      <c r="A60" s="1" t="s">
        <v>41</v>
      </c>
      <c r="B60" s="5" t="s">
        <v>42</v>
      </c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 t="str">
        <f t="shared" si="5"/>
        <v/>
      </c>
    </row>
    <row r="61" spans="1:17" x14ac:dyDescent="0.25">
      <c r="A61" s="1" t="s">
        <v>43</v>
      </c>
      <c r="B61" s="5" t="s">
        <v>44</v>
      </c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 t="str">
        <f t="shared" si="5"/>
        <v/>
      </c>
    </row>
    <row r="62" spans="1:17" x14ac:dyDescent="0.25">
      <c r="A62" s="229" t="s">
        <v>527</v>
      </c>
      <c r="B62" s="5" t="s">
        <v>528</v>
      </c>
      <c r="C62" s="174">
        <v>609</v>
      </c>
      <c r="D62" s="174">
        <v>0</v>
      </c>
      <c r="E62" s="174">
        <v>0</v>
      </c>
      <c r="F62" s="174">
        <v>0</v>
      </c>
      <c r="G62" s="174">
        <v>0</v>
      </c>
      <c r="H62" s="174">
        <v>0</v>
      </c>
      <c r="I62" s="174">
        <v>0</v>
      </c>
      <c r="J62" s="174">
        <v>0</v>
      </c>
      <c r="K62" s="174">
        <v>0</v>
      </c>
      <c r="L62" s="174">
        <v>0</v>
      </c>
      <c r="M62" s="174">
        <v>0</v>
      </c>
      <c r="N62" s="174">
        <v>0</v>
      </c>
      <c r="O62" s="174">
        <v>0</v>
      </c>
      <c r="P62" s="174">
        <v>0</v>
      </c>
      <c r="Q62" s="174">
        <f t="shared" si="5"/>
        <v>-609</v>
      </c>
    </row>
    <row r="63" spans="1:17" x14ac:dyDescent="0.25">
      <c r="A63" s="1" t="s">
        <v>196</v>
      </c>
      <c r="B63" s="5" t="s">
        <v>195</v>
      </c>
      <c r="C63" s="175">
        <v>892</v>
      </c>
      <c r="D63" s="175">
        <f>$P$63/12</f>
        <v>74.333333333333329</v>
      </c>
      <c r="E63" s="175">
        <f t="shared" ref="E63:O63" si="7">$P$63/12</f>
        <v>74.333333333333329</v>
      </c>
      <c r="F63" s="175">
        <f t="shared" si="7"/>
        <v>74.333333333333329</v>
      </c>
      <c r="G63" s="175">
        <f t="shared" si="7"/>
        <v>74.333333333333329</v>
      </c>
      <c r="H63" s="175">
        <f t="shared" si="7"/>
        <v>74.333333333333329</v>
      </c>
      <c r="I63" s="175">
        <f t="shared" si="7"/>
        <v>74.333333333333329</v>
      </c>
      <c r="J63" s="175">
        <f t="shared" si="7"/>
        <v>74.333333333333329</v>
      </c>
      <c r="K63" s="175">
        <f t="shared" si="7"/>
        <v>74.333333333333329</v>
      </c>
      <c r="L63" s="175">
        <f t="shared" si="7"/>
        <v>74.333333333333329</v>
      </c>
      <c r="M63" s="175">
        <f t="shared" si="7"/>
        <v>74.333333333333329</v>
      </c>
      <c r="N63" s="175">
        <f t="shared" si="7"/>
        <v>74.333333333333329</v>
      </c>
      <c r="O63" s="175">
        <f t="shared" si="7"/>
        <v>74.333333333333329</v>
      </c>
      <c r="P63" s="174">
        <f>C63</f>
        <v>892</v>
      </c>
      <c r="Q63" s="174">
        <f t="shared" si="5"/>
        <v>0</v>
      </c>
    </row>
    <row r="64" spans="1:17" x14ac:dyDescent="0.25">
      <c r="A64" s="1" t="s">
        <v>45</v>
      </c>
      <c r="B64" s="5" t="s">
        <v>46</v>
      </c>
      <c r="C64" s="175">
        <v>0</v>
      </c>
      <c r="D64" s="175">
        <v>0</v>
      </c>
      <c r="E64" s="175">
        <v>0</v>
      </c>
      <c r="F64" s="175">
        <v>0</v>
      </c>
      <c r="G64" s="175">
        <v>0</v>
      </c>
      <c r="H64" s="175">
        <v>0</v>
      </c>
      <c r="I64" s="175">
        <v>0</v>
      </c>
      <c r="J64" s="175">
        <v>0</v>
      </c>
      <c r="K64" s="175">
        <v>0</v>
      </c>
      <c r="L64" s="175">
        <v>0</v>
      </c>
      <c r="M64" s="175">
        <v>550</v>
      </c>
      <c r="N64" s="175">
        <v>0</v>
      </c>
      <c r="O64" s="175">
        <v>0</v>
      </c>
      <c r="P64" s="174">
        <f>SUM(D64:O64)</f>
        <v>550</v>
      </c>
      <c r="Q64" s="174">
        <f t="shared" si="5"/>
        <v>550</v>
      </c>
    </row>
    <row r="65" spans="1:24" x14ac:dyDescent="0.25">
      <c r="A65" s="215" t="s">
        <v>511</v>
      </c>
      <c r="B65" s="5" t="s">
        <v>512</v>
      </c>
      <c r="C65" s="175">
        <v>0</v>
      </c>
      <c r="D65" s="175">
        <f>$P$65/12</f>
        <v>0</v>
      </c>
      <c r="E65" s="175">
        <f t="shared" ref="E65:O77" si="8">$P$65/12</f>
        <v>0</v>
      </c>
      <c r="F65" s="175">
        <f t="shared" si="8"/>
        <v>0</v>
      </c>
      <c r="G65" s="175">
        <f t="shared" si="8"/>
        <v>0</v>
      </c>
      <c r="H65" s="175">
        <f t="shared" si="8"/>
        <v>0</v>
      </c>
      <c r="I65" s="175">
        <f t="shared" si="8"/>
        <v>0</v>
      </c>
      <c r="J65" s="175">
        <f t="shared" si="8"/>
        <v>0</v>
      </c>
      <c r="K65" s="175">
        <f t="shared" si="8"/>
        <v>0</v>
      </c>
      <c r="L65" s="175">
        <f t="shared" si="8"/>
        <v>0</v>
      </c>
      <c r="M65" s="175">
        <f t="shared" si="8"/>
        <v>0</v>
      </c>
      <c r="N65" s="175">
        <f t="shared" si="8"/>
        <v>0</v>
      </c>
      <c r="O65" s="175">
        <f t="shared" si="8"/>
        <v>0</v>
      </c>
      <c r="P65" s="174">
        <v>0</v>
      </c>
      <c r="Q65" s="174">
        <f t="shared" si="5"/>
        <v>0</v>
      </c>
    </row>
    <row r="66" spans="1:24" x14ac:dyDescent="0.25">
      <c r="A66" s="1" t="s">
        <v>47</v>
      </c>
      <c r="B66" s="5" t="s">
        <v>48</v>
      </c>
      <c r="C66" s="175">
        <v>0</v>
      </c>
      <c r="D66" s="175">
        <f t="shared" ref="D66:D77" si="9">$P$65/12</f>
        <v>0</v>
      </c>
      <c r="E66" s="175">
        <f t="shared" si="8"/>
        <v>0</v>
      </c>
      <c r="F66" s="175">
        <f t="shared" si="8"/>
        <v>0</v>
      </c>
      <c r="G66" s="175">
        <f t="shared" si="8"/>
        <v>0</v>
      </c>
      <c r="H66" s="175">
        <f t="shared" si="8"/>
        <v>0</v>
      </c>
      <c r="I66" s="175">
        <f t="shared" si="8"/>
        <v>0</v>
      </c>
      <c r="J66" s="175">
        <f t="shared" si="8"/>
        <v>0</v>
      </c>
      <c r="K66" s="175">
        <f t="shared" si="8"/>
        <v>0</v>
      </c>
      <c r="L66" s="175">
        <f t="shared" si="8"/>
        <v>0</v>
      </c>
      <c r="M66" s="175">
        <f t="shared" si="8"/>
        <v>0</v>
      </c>
      <c r="N66" s="175">
        <f t="shared" si="8"/>
        <v>0</v>
      </c>
      <c r="O66" s="175">
        <f t="shared" si="8"/>
        <v>0</v>
      </c>
      <c r="P66" s="174">
        <v>0</v>
      </c>
      <c r="Q66" s="174">
        <f t="shared" si="5"/>
        <v>0</v>
      </c>
    </row>
    <row r="67" spans="1:24" x14ac:dyDescent="0.25">
      <c r="A67" s="7" t="s">
        <v>221</v>
      </c>
      <c r="B67" s="5" t="s">
        <v>439</v>
      </c>
      <c r="C67" s="175">
        <v>0</v>
      </c>
      <c r="D67" s="175">
        <f t="shared" si="9"/>
        <v>0</v>
      </c>
      <c r="E67" s="175">
        <f t="shared" si="8"/>
        <v>0</v>
      </c>
      <c r="F67" s="175">
        <f t="shared" si="8"/>
        <v>0</v>
      </c>
      <c r="G67" s="175">
        <f t="shared" si="8"/>
        <v>0</v>
      </c>
      <c r="H67" s="175">
        <f t="shared" si="8"/>
        <v>0</v>
      </c>
      <c r="I67" s="175">
        <f t="shared" si="8"/>
        <v>0</v>
      </c>
      <c r="J67" s="175">
        <f t="shared" si="8"/>
        <v>0</v>
      </c>
      <c r="K67" s="175">
        <f t="shared" si="8"/>
        <v>0</v>
      </c>
      <c r="L67" s="175">
        <f t="shared" si="8"/>
        <v>0</v>
      </c>
      <c r="M67" s="175">
        <f t="shared" si="8"/>
        <v>0</v>
      </c>
      <c r="N67" s="175">
        <f t="shared" si="8"/>
        <v>0</v>
      </c>
      <c r="O67" s="175">
        <f t="shared" si="8"/>
        <v>0</v>
      </c>
      <c r="P67" s="174">
        <v>0</v>
      </c>
      <c r="Q67" s="174">
        <f t="shared" si="5"/>
        <v>0</v>
      </c>
    </row>
    <row r="68" spans="1:24" x14ac:dyDescent="0.25">
      <c r="A68" s="123" t="s">
        <v>223</v>
      </c>
      <c r="B68" s="5" t="s">
        <v>473</v>
      </c>
      <c r="C68" s="175">
        <v>0</v>
      </c>
      <c r="D68" s="175">
        <f t="shared" si="9"/>
        <v>0</v>
      </c>
      <c r="E68" s="175">
        <f t="shared" si="8"/>
        <v>0</v>
      </c>
      <c r="F68" s="175">
        <f t="shared" si="8"/>
        <v>0</v>
      </c>
      <c r="G68" s="175">
        <f t="shared" si="8"/>
        <v>0</v>
      </c>
      <c r="H68" s="175">
        <f t="shared" si="8"/>
        <v>0</v>
      </c>
      <c r="I68" s="175">
        <f t="shared" si="8"/>
        <v>0</v>
      </c>
      <c r="J68" s="175">
        <f t="shared" si="8"/>
        <v>0</v>
      </c>
      <c r="K68" s="175">
        <f t="shared" si="8"/>
        <v>0</v>
      </c>
      <c r="L68" s="175">
        <f t="shared" si="8"/>
        <v>0</v>
      </c>
      <c r="M68" s="175">
        <f t="shared" si="8"/>
        <v>0</v>
      </c>
      <c r="N68" s="175">
        <f t="shared" si="8"/>
        <v>0</v>
      </c>
      <c r="O68" s="175">
        <f t="shared" si="8"/>
        <v>0</v>
      </c>
      <c r="P68" s="174">
        <v>0</v>
      </c>
      <c r="Q68" s="174">
        <f t="shared" si="5"/>
        <v>0</v>
      </c>
    </row>
    <row r="69" spans="1:24" x14ac:dyDescent="0.25">
      <c r="A69" s="1" t="s">
        <v>225</v>
      </c>
      <c r="B69" s="5" t="s">
        <v>385</v>
      </c>
      <c r="C69" s="175">
        <v>3045</v>
      </c>
      <c r="D69" s="175">
        <f t="shared" si="9"/>
        <v>0</v>
      </c>
      <c r="E69" s="175">
        <f t="shared" si="8"/>
        <v>0</v>
      </c>
      <c r="F69" s="175">
        <f t="shared" si="8"/>
        <v>0</v>
      </c>
      <c r="G69" s="175">
        <f t="shared" si="8"/>
        <v>0</v>
      </c>
      <c r="H69" s="175">
        <f t="shared" si="8"/>
        <v>0</v>
      </c>
      <c r="I69" s="175">
        <f t="shared" si="8"/>
        <v>0</v>
      </c>
      <c r="J69" s="175">
        <f t="shared" si="8"/>
        <v>0</v>
      </c>
      <c r="K69" s="175">
        <f t="shared" si="8"/>
        <v>0</v>
      </c>
      <c r="L69" s="175">
        <f t="shared" si="8"/>
        <v>0</v>
      </c>
      <c r="M69" s="175">
        <f t="shared" si="8"/>
        <v>0</v>
      </c>
      <c r="N69" s="175">
        <f t="shared" si="8"/>
        <v>0</v>
      </c>
      <c r="O69" s="175">
        <f t="shared" si="8"/>
        <v>0</v>
      </c>
      <c r="P69" s="174">
        <v>0</v>
      </c>
      <c r="Q69" s="174">
        <f t="shared" si="5"/>
        <v>-3045</v>
      </c>
    </row>
    <row r="70" spans="1:24" x14ac:dyDescent="0.25">
      <c r="A70" s="229" t="s">
        <v>529</v>
      </c>
      <c r="B70" s="5" t="s">
        <v>530</v>
      </c>
      <c r="C70" s="175">
        <v>3857</v>
      </c>
      <c r="D70" s="175">
        <f t="shared" si="9"/>
        <v>0</v>
      </c>
      <c r="E70" s="175">
        <f t="shared" si="8"/>
        <v>0</v>
      </c>
      <c r="F70" s="175">
        <f t="shared" si="8"/>
        <v>0</v>
      </c>
      <c r="G70" s="175">
        <f t="shared" si="8"/>
        <v>0</v>
      </c>
      <c r="H70" s="175">
        <f t="shared" si="8"/>
        <v>0</v>
      </c>
      <c r="I70" s="175">
        <f t="shared" si="8"/>
        <v>0</v>
      </c>
      <c r="J70" s="175">
        <f t="shared" si="8"/>
        <v>0</v>
      </c>
      <c r="K70" s="175">
        <f t="shared" si="8"/>
        <v>0</v>
      </c>
      <c r="L70" s="175">
        <f t="shared" si="8"/>
        <v>0</v>
      </c>
      <c r="M70" s="175">
        <f t="shared" si="8"/>
        <v>0</v>
      </c>
      <c r="N70" s="175">
        <f t="shared" si="8"/>
        <v>0</v>
      </c>
      <c r="O70" s="175">
        <f t="shared" si="8"/>
        <v>0</v>
      </c>
      <c r="P70" s="174">
        <v>0</v>
      </c>
      <c r="Q70" s="174">
        <f t="shared" ref="Q70" si="10">IF(C70&lt;&gt;"",P70-C70,"")</f>
        <v>-3857</v>
      </c>
    </row>
    <row r="71" spans="1:24" x14ac:dyDescent="0.25">
      <c r="A71" s="1" t="s">
        <v>49</v>
      </c>
      <c r="B71" s="5" t="s">
        <v>50</v>
      </c>
      <c r="C71" s="175">
        <v>3806</v>
      </c>
      <c r="D71" s="175">
        <f t="shared" si="9"/>
        <v>0</v>
      </c>
      <c r="E71" s="175">
        <f t="shared" si="8"/>
        <v>0</v>
      </c>
      <c r="F71" s="175">
        <f t="shared" si="8"/>
        <v>0</v>
      </c>
      <c r="G71" s="175">
        <f t="shared" si="8"/>
        <v>0</v>
      </c>
      <c r="H71" s="175">
        <f t="shared" si="8"/>
        <v>0</v>
      </c>
      <c r="I71" s="175">
        <f t="shared" si="8"/>
        <v>0</v>
      </c>
      <c r="J71" s="175">
        <f t="shared" si="8"/>
        <v>0</v>
      </c>
      <c r="K71" s="175">
        <f t="shared" si="8"/>
        <v>0</v>
      </c>
      <c r="L71" s="175">
        <f t="shared" si="8"/>
        <v>0</v>
      </c>
      <c r="M71" s="175">
        <f t="shared" si="8"/>
        <v>0</v>
      </c>
      <c r="N71" s="175">
        <f t="shared" si="8"/>
        <v>0</v>
      </c>
      <c r="O71" s="175">
        <f t="shared" si="8"/>
        <v>0</v>
      </c>
      <c r="P71" s="174">
        <v>0</v>
      </c>
      <c r="Q71" s="174">
        <f t="shared" si="5"/>
        <v>-3806</v>
      </c>
    </row>
    <row r="72" spans="1:24" x14ac:dyDescent="0.25">
      <c r="A72" s="189" t="s">
        <v>228</v>
      </c>
      <c r="B72" s="5" t="s">
        <v>495</v>
      </c>
      <c r="C72" s="175">
        <v>0</v>
      </c>
      <c r="D72" s="175">
        <f t="shared" si="9"/>
        <v>0</v>
      </c>
      <c r="E72" s="175">
        <f t="shared" si="8"/>
        <v>0</v>
      </c>
      <c r="F72" s="175">
        <f t="shared" si="8"/>
        <v>0</v>
      </c>
      <c r="G72" s="175">
        <f t="shared" si="8"/>
        <v>0</v>
      </c>
      <c r="H72" s="175">
        <f t="shared" si="8"/>
        <v>0</v>
      </c>
      <c r="I72" s="175">
        <f t="shared" si="8"/>
        <v>0</v>
      </c>
      <c r="J72" s="175">
        <f t="shared" si="8"/>
        <v>0</v>
      </c>
      <c r="K72" s="175">
        <f t="shared" si="8"/>
        <v>0</v>
      </c>
      <c r="L72" s="175">
        <f t="shared" si="8"/>
        <v>0</v>
      </c>
      <c r="M72" s="175">
        <f t="shared" si="8"/>
        <v>0</v>
      </c>
      <c r="N72" s="175">
        <f t="shared" si="8"/>
        <v>0</v>
      </c>
      <c r="O72" s="175">
        <f t="shared" si="8"/>
        <v>0</v>
      </c>
      <c r="P72" s="174">
        <v>0</v>
      </c>
      <c r="Q72" s="174">
        <f t="shared" si="5"/>
        <v>0</v>
      </c>
    </row>
    <row r="73" spans="1:24" x14ac:dyDescent="0.25">
      <c r="A73" s="1" t="s">
        <v>194</v>
      </c>
      <c r="B73" s="5" t="s">
        <v>193</v>
      </c>
      <c r="C73" s="175">
        <v>0</v>
      </c>
      <c r="D73" s="175">
        <f t="shared" si="9"/>
        <v>0</v>
      </c>
      <c r="E73" s="175">
        <f t="shared" si="8"/>
        <v>0</v>
      </c>
      <c r="F73" s="175">
        <f t="shared" si="8"/>
        <v>0</v>
      </c>
      <c r="G73" s="175">
        <f t="shared" si="8"/>
        <v>0</v>
      </c>
      <c r="H73" s="175">
        <f t="shared" si="8"/>
        <v>0</v>
      </c>
      <c r="I73" s="175">
        <f t="shared" si="8"/>
        <v>0</v>
      </c>
      <c r="J73" s="175">
        <f t="shared" si="8"/>
        <v>0</v>
      </c>
      <c r="K73" s="175">
        <f t="shared" si="8"/>
        <v>0</v>
      </c>
      <c r="L73" s="175">
        <f t="shared" si="8"/>
        <v>0</v>
      </c>
      <c r="M73" s="175">
        <f t="shared" si="8"/>
        <v>0</v>
      </c>
      <c r="N73" s="175">
        <f t="shared" si="8"/>
        <v>0</v>
      </c>
      <c r="O73" s="175">
        <f t="shared" si="8"/>
        <v>0</v>
      </c>
      <c r="P73" s="174">
        <v>0</v>
      </c>
      <c r="Q73" s="174">
        <f t="shared" si="5"/>
        <v>0</v>
      </c>
    </row>
    <row r="74" spans="1:24" x14ac:dyDescent="0.25">
      <c r="A74" s="1" t="s">
        <v>51</v>
      </c>
      <c r="B74" s="5" t="s">
        <v>52</v>
      </c>
      <c r="C74" s="175">
        <v>0</v>
      </c>
      <c r="D74" s="175">
        <f t="shared" si="9"/>
        <v>0</v>
      </c>
      <c r="E74" s="175">
        <f t="shared" si="8"/>
        <v>0</v>
      </c>
      <c r="F74" s="175">
        <f t="shared" si="8"/>
        <v>0</v>
      </c>
      <c r="G74" s="175">
        <f t="shared" si="8"/>
        <v>0</v>
      </c>
      <c r="H74" s="175">
        <f t="shared" si="8"/>
        <v>0</v>
      </c>
      <c r="I74" s="175">
        <f t="shared" si="8"/>
        <v>0</v>
      </c>
      <c r="J74" s="175">
        <f t="shared" si="8"/>
        <v>0</v>
      </c>
      <c r="K74" s="175">
        <f t="shared" si="8"/>
        <v>0</v>
      </c>
      <c r="L74" s="175">
        <f t="shared" si="8"/>
        <v>0</v>
      </c>
      <c r="M74" s="175">
        <f t="shared" si="8"/>
        <v>0</v>
      </c>
      <c r="N74" s="175">
        <f t="shared" si="8"/>
        <v>0</v>
      </c>
      <c r="O74" s="175">
        <f t="shared" si="8"/>
        <v>0</v>
      </c>
      <c r="P74" s="174">
        <v>0</v>
      </c>
      <c r="Q74" s="174">
        <f t="shared" si="5"/>
        <v>0</v>
      </c>
      <c r="R74" s="216"/>
    </row>
    <row r="75" spans="1:24" x14ac:dyDescent="0.25">
      <c r="A75" s="1" t="s">
        <v>53</v>
      </c>
      <c r="B75" s="5" t="s">
        <v>54</v>
      </c>
      <c r="C75" s="175">
        <v>13300</v>
      </c>
      <c r="D75" s="175">
        <f t="shared" si="9"/>
        <v>0</v>
      </c>
      <c r="E75" s="175">
        <f t="shared" si="8"/>
        <v>0</v>
      </c>
      <c r="F75" s="175">
        <f t="shared" si="8"/>
        <v>0</v>
      </c>
      <c r="G75" s="175">
        <f t="shared" si="8"/>
        <v>0</v>
      </c>
      <c r="H75" s="175">
        <f t="shared" si="8"/>
        <v>0</v>
      </c>
      <c r="I75" s="175">
        <f>3150.75*1.05</f>
        <v>3308.2875000000004</v>
      </c>
      <c r="J75" s="175">
        <f t="shared" si="8"/>
        <v>0</v>
      </c>
      <c r="K75" s="175">
        <f>2317.5*1.05</f>
        <v>2433.375</v>
      </c>
      <c r="L75" s="175">
        <f t="shared" si="8"/>
        <v>0</v>
      </c>
      <c r="M75" s="175">
        <f t="shared" si="8"/>
        <v>0</v>
      </c>
      <c r="N75" s="175">
        <f>2317.5*1.05</f>
        <v>2433.375</v>
      </c>
      <c r="O75" s="175">
        <f t="shared" si="8"/>
        <v>0</v>
      </c>
      <c r="P75" s="174">
        <v>0</v>
      </c>
      <c r="Q75" s="174">
        <f t="shared" si="5"/>
        <v>-13300</v>
      </c>
    </row>
    <row r="76" spans="1:24" x14ac:dyDescent="0.25">
      <c r="A76" s="1" t="s">
        <v>55</v>
      </c>
      <c r="B76" s="5" t="s">
        <v>56</v>
      </c>
      <c r="C76" s="175">
        <v>906</v>
      </c>
      <c r="D76" s="175">
        <f t="shared" si="9"/>
        <v>0</v>
      </c>
      <c r="E76" s="175">
        <f t="shared" si="8"/>
        <v>0</v>
      </c>
      <c r="F76" s="175">
        <f t="shared" si="8"/>
        <v>0</v>
      </c>
      <c r="G76" s="175">
        <f t="shared" si="8"/>
        <v>0</v>
      </c>
      <c r="H76" s="175">
        <f t="shared" si="8"/>
        <v>0</v>
      </c>
      <c r="I76" s="175">
        <f t="shared" si="8"/>
        <v>0</v>
      </c>
      <c r="J76" s="175">
        <f t="shared" si="8"/>
        <v>0</v>
      </c>
      <c r="K76" s="175">
        <f t="shared" si="8"/>
        <v>0</v>
      </c>
      <c r="L76" s="175">
        <f t="shared" si="8"/>
        <v>0</v>
      </c>
      <c r="M76" s="175">
        <f t="shared" si="8"/>
        <v>0</v>
      </c>
      <c r="N76" s="175">
        <f t="shared" si="8"/>
        <v>0</v>
      </c>
      <c r="O76" s="175">
        <f t="shared" si="8"/>
        <v>0</v>
      </c>
      <c r="P76" s="174">
        <v>0</v>
      </c>
      <c r="Q76" s="174">
        <f t="shared" si="5"/>
        <v>-906</v>
      </c>
    </row>
    <row r="77" spans="1:24" x14ac:dyDescent="0.25">
      <c r="A77" s="1" t="s">
        <v>57</v>
      </c>
      <c r="B77" s="5" t="s">
        <v>58</v>
      </c>
      <c r="C77" s="175">
        <v>1218</v>
      </c>
      <c r="D77" s="175">
        <f t="shared" si="9"/>
        <v>0</v>
      </c>
      <c r="E77" s="175">
        <f t="shared" si="8"/>
        <v>0</v>
      </c>
      <c r="F77" s="175">
        <f t="shared" si="8"/>
        <v>0</v>
      </c>
      <c r="G77" s="175">
        <f t="shared" si="8"/>
        <v>0</v>
      </c>
      <c r="H77" s="175">
        <f t="shared" si="8"/>
        <v>0</v>
      </c>
      <c r="I77" s="175">
        <f t="shared" si="8"/>
        <v>0</v>
      </c>
      <c r="J77" s="175">
        <f t="shared" si="8"/>
        <v>0</v>
      </c>
      <c r="K77" s="175">
        <f t="shared" si="8"/>
        <v>0</v>
      </c>
      <c r="L77" s="175">
        <f t="shared" si="8"/>
        <v>0</v>
      </c>
      <c r="M77" s="175">
        <f t="shared" si="8"/>
        <v>0</v>
      </c>
      <c r="N77" s="175">
        <f t="shared" si="8"/>
        <v>0</v>
      </c>
      <c r="O77" s="175">
        <f t="shared" si="8"/>
        <v>0</v>
      </c>
      <c r="P77" s="174">
        <v>0</v>
      </c>
      <c r="Q77" s="174">
        <f t="shared" si="5"/>
        <v>-1218</v>
      </c>
      <c r="V77">
        <v>2015</v>
      </c>
      <c r="W77">
        <v>41169.160000000003</v>
      </c>
    </row>
    <row r="78" spans="1:24" ht="15.75" thickBot="1" x14ac:dyDescent="0.3">
      <c r="A78" s="1" t="s">
        <v>233</v>
      </c>
      <c r="B78" s="5" t="s">
        <v>384</v>
      </c>
      <c r="C78" s="175">
        <v>15224</v>
      </c>
      <c r="D78" s="175">
        <f>$P$78/12</f>
        <v>1316.3753333333332</v>
      </c>
      <c r="E78" s="175">
        <f t="shared" ref="E78:O78" si="11">$P$78/12</f>
        <v>1316.3753333333332</v>
      </c>
      <c r="F78" s="175">
        <f t="shared" si="11"/>
        <v>1316.3753333333332</v>
      </c>
      <c r="G78" s="175">
        <f t="shared" si="11"/>
        <v>1316.3753333333332</v>
      </c>
      <c r="H78" s="175">
        <f t="shared" si="11"/>
        <v>1316.3753333333332</v>
      </c>
      <c r="I78" s="175">
        <f t="shared" si="11"/>
        <v>1316.3753333333332</v>
      </c>
      <c r="J78" s="175">
        <f t="shared" si="11"/>
        <v>1316.3753333333332</v>
      </c>
      <c r="K78" s="175">
        <f t="shared" si="11"/>
        <v>1316.3753333333332</v>
      </c>
      <c r="L78" s="175">
        <f t="shared" si="11"/>
        <v>1316.3753333333332</v>
      </c>
      <c r="M78" s="175">
        <f t="shared" si="11"/>
        <v>1316.3753333333332</v>
      </c>
      <c r="N78" s="175">
        <f t="shared" si="11"/>
        <v>1316.3753333333332</v>
      </c>
      <c r="O78" s="175">
        <f t="shared" si="11"/>
        <v>1316.3753333333332</v>
      </c>
      <c r="P78" s="174">
        <f>5%*P58</f>
        <v>15796.503999999999</v>
      </c>
      <c r="Q78" s="174">
        <f t="shared" si="5"/>
        <v>572.503999999999</v>
      </c>
      <c r="V78">
        <v>2016</v>
      </c>
      <c r="W78">
        <v>44524.58</v>
      </c>
      <c r="X78" s="217">
        <f>W78/W77-1</f>
        <v>8.150324174697765E-2</v>
      </c>
    </row>
    <row r="79" spans="1:24" x14ac:dyDescent="0.25">
      <c r="A79" s="1" t="s">
        <v>59</v>
      </c>
      <c r="B79" s="5" t="s">
        <v>60</v>
      </c>
      <c r="C79" s="176">
        <f>SUM(C62:C78)</f>
        <v>42857</v>
      </c>
      <c r="D79" s="176">
        <f t="shared" ref="D79:Q79" si="12">SUM(D62:D78)</f>
        <v>1390.7086666666664</v>
      </c>
      <c r="E79" s="176">
        <f t="shared" si="12"/>
        <v>1390.7086666666664</v>
      </c>
      <c r="F79" s="176">
        <f t="shared" si="12"/>
        <v>1390.7086666666664</v>
      </c>
      <c r="G79" s="176">
        <f t="shared" si="12"/>
        <v>1390.7086666666664</v>
      </c>
      <c r="H79" s="176">
        <f t="shared" si="12"/>
        <v>1390.7086666666664</v>
      </c>
      <c r="I79" s="176">
        <f t="shared" si="12"/>
        <v>4698.9961666666668</v>
      </c>
      <c r="J79" s="176">
        <f t="shared" si="12"/>
        <v>1390.7086666666664</v>
      </c>
      <c r="K79" s="176">
        <f t="shared" si="12"/>
        <v>3824.0836666666664</v>
      </c>
      <c r="L79" s="176">
        <f t="shared" si="12"/>
        <v>1390.7086666666664</v>
      </c>
      <c r="M79" s="176">
        <f t="shared" si="12"/>
        <v>1940.7086666666664</v>
      </c>
      <c r="N79" s="176">
        <f t="shared" si="12"/>
        <v>3824.0836666666664</v>
      </c>
      <c r="O79" s="176">
        <f t="shared" si="12"/>
        <v>1390.7086666666664</v>
      </c>
      <c r="P79" s="176">
        <f t="shared" si="12"/>
        <v>17238.504000000001</v>
      </c>
      <c r="Q79" s="176">
        <f t="shared" si="12"/>
        <v>-25618.495999999999</v>
      </c>
    </row>
    <row r="80" spans="1:24" x14ac:dyDescent="0.25">
      <c r="A80" s="1"/>
      <c r="B80" s="5"/>
      <c r="C80" s="182"/>
      <c r="D80" s="182"/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O80" s="182"/>
      <c r="P80" s="181"/>
      <c r="Q80" s="181" t="str">
        <f t="shared" si="5"/>
        <v/>
      </c>
    </row>
    <row r="81" spans="1:18" x14ac:dyDescent="0.25">
      <c r="A81" s="1" t="s">
        <v>61</v>
      </c>
      <c r="B81" s="5" t="s">
        <v>62</v>
      </c>
      <c r="C81" s="174"/>
      <c r="D81" s="174"/>
      <c r="E81" s="174"/>
      <c r="F81" s="174"/>
      <c r="G81" s="174"/>
      <c r="H81" s="174"/>
      <c r="I81" s="174"/>
      <c r="J81" s="174"/>
      <c r="K81" s="174"/>
      <c r="L81" s="174"/>
      <c r="M81" s="174"/>
      <c r="N81" s="174"/>
      <c r="O81" s="174"/>
      <c r="P81" s="174"/>
      <c r="Q81" s="174" t="str">
        <f t="shared" si="5"/>
        <v/>
      </c>
    </row>
    <row r="82" spans="1:18" x14ac:dyDescent="0.25">
      <c r="A82" s="1" t="s">
        <v>63</v>
      </c>
      <c r="B82" s="5" t="s">
        <v>64</v>
      </c>
      <c r="C82" s="175">
        <f>O$82/12</f>
        <v>0</v>
      </c>
      <c r="D82" s="175">
        <f>P$82/12</f>
        <v>0</v>
      </c>
      <c r="E82" s="175">
        <f t="shared" ref="E82:O85" si="13">$P82/12</f>
        <v>0</v>
      </c>
      <c r="F82" s="175">
        <f t="shared" si="13"/>
        <v>0</v>
      </c>
      <c r="G82" s="175">
        <f t="shared" si="13"/>
        <v>0</v>
      </c>
      <c r="H82" s="175">
        <f t="shared" si="13"/>
        <v>0</v>
      </c>
      <c r="I82" s="175">
        <f t="shared" si="13"/>
        <v>0</v>
      </c>
      <c r="J82" s="175">
        <f t="shared" si="13"/>
        <v>0</v>
      </c>
      <c r="K82" s="175">
        <f t="shared" si="13"/>
        <v>0</v>
      </c>
      <c r="L82" s="175">
        <f t="shared" si="13"/>
        <v>0</v>
      </c>
      <c r="M82" s="175">
        <f t="shared" si="13"/>
        <v>0</v>
      </c>
      <c r="N82" s="175">
        <f t="shared" si="13"/>
        <v>0</v>
      </c>
      <c r="O82" s="175">
        <f t="shared" si="13"/>
        <v>0</v>
      </c>
      <c r="P82" s="174">
        <v>0</v>
      </c>
      <c r="Q82" s="174">
        <f t="shared" si="5"/>
        <v>0</v>
      </c>
    </row>
    <row r="83" spans="1:18" x14ac:dyDescent="0.25">
      <c r="A83" s="1" t="s">
        <v>65</v>
      </c>
      <c r="B83" s="5" t="s">
        <v>66</v>
      </c>
      <c r="C83" s="175">
        <f t="shared" ref="C83:D85" si="14">$P83/12</f>
        <v>0</v>
      </c>
      <c r="D83" s="175">
        <f t="shared" si="14"/>
        <v>0</v>
      </c>
      <c r="E83" s="175">
        <f t="shared" si="13"/>
        <v>0</v>
      </c>
      <c r="F83" s="175">
        <f t="shared" si="13"/>
        <v>0</v>
      </c>
      <c r="G83" s="175">
        <f t="shared" si="13"/>
        <v>0</v>
      </c>
      <c r="H83" s="175">
        <f t="shared" si="13"/>
        <v>0</v>
      </c>
      <c r="I83" s="175">
        <f t="shared" si="13"/>
        <v>0</v>
      </c>
      <c r="J83" s="175">
        <f t="shared" si="13"/>
        <v>0</v>
      </c>
      <c r="K83" s="175">
        <f t="shared" si="13"/>
        <v>0</v>
      </c>
      <c r="L83" s="175">
        <f t="shared" si="13"/>
        <v>0</v>
      </c>
      <c r="M83" s="175">
        <f t="shared" si="13"/>
        <v>0</v>
      </c>
      <c r="N83" s="175">
        <f t="shared" si="13"/>
        <v>0</v>
      </c>
      <c r="O83" s="175">
        <f t="shared" si="13"/>
        <v>0</v>
      </c>
      <c r="P83" s="174">
        <f>_xlfn.IFNA(VLOOKUP(A83,'Op Budget 2016'!$C$15:$Q$53,15,FALSE),)</f>
        <v>0</v>
      </c>
      <c r="Q83" s="174">
        <f t="shared" si="5"/>
        <v>0</v>
      </c>
    </row>
    <row r="84" spans="1:18" x14ac:dyDescent="0.25">
      <c r="A84" s="1" t="s">
        <v>67</v>
      </c>
      <c r="B84" s="5" t="s">
        <v>68</v>
      </c>
      <c r="C84" s="175">
        <f t="shared" si="14"/>
        <v>0</v>
      </c>
      <c r="D84" s="175">
        <f t="shared" si="14"/>
        <v>0</v>
      </c>
      <c r="E84" s="175">
        <f t="shared" si="13"/>
        <v>0</v>
      </c>
      <c r="F84" s="175">
        <f t="shared" si="13"/>
        <v>0</v>
      </c>
      <c r="G84" s="175">
        <f t="shared" si="13"/>
        <v>0</v>
      </c>
      <c r="H84" s="175">
        <f t="shared" si="13"/>
        <v>0</v>
      </c>
      <c r="I84" s="175">
        <f t="shared" si="13"/>
        <v>0</v>
      </c>
      <c r="J84" s="175">
        <f t="shared" si="13"/>
        <v>0</v>
      </c>
      <c r="K84" s="175">
        <f t="shared" si="13"/>
        <v>0</v>
      </c>
      <c r="L84" s="175">
        <f t="shared" si="13"/>
        <v>0</v>
      </c>
      <c r="M84" s="175">
        <f t="shared" si="13"/>
        <v>0</v>
      </c>
      <c r="N84" s="175">
        <f t="shared" si="13"/>
        <v>0</v>
      </c>
      <c r="O84" s="175">
        <f t="shared" si="13"/>
        <v>0</v>
      </c>
      <c r="P84" s="174">
        <f>_xlfn.IFNA(VLOOKUP(A84,'Op Budget 2016'!$C$15:$Q$53,15,FALSE),)</f>
        <v>0</v>
      </c>
      <c r="Q84" s="174">
        <f t="shared" si="5"/>
        <v>0</v>
      </c>
    </row>
    <row r="85" spans="1:18" x14ac:dyDescent="0.25">
      <c r="A85" s="1" t="s">
        <v>69</v>
      </c>
      <c r="B85" s="5" t="s">
        <v>70</v>
      </c>
      <c r="C85" s="175">
        <f t="shared" si="14"/>
        <v>0</v>
      </c>
      <c r="D85" s="175">
        <f t="shared" si="14"/>
        <v>0</v>
      </c>
      <c r="E85" s="175">
        <f t="shared" si="13"/>
        <v>0</v>
      </c>
      <c r="F85" s="175">
        <f t="shared" si="13"/>
        <v>0</v>
      </c>
      <c r="G85" s="175">
        <f t="shared" si="13"/>
        <v>0</v>
      </c>
      <c r="H85" s="175">
        <f t="shared" si="13"/>
        <v>0</v>
      </c>
      <c r="I85" s="175">
        <f t="shared" si="13"/>
        <v>0</v>
      </c>
      <c r="J85" s="175">
        <f t="shared" si="13"/>
        <v>0</v>
      </c>
      <c r="K85" s="175">
        <f t="shared" si="13"/>
        <v>0</v>
      </c>
      <c r="L85" s="175">
        <f t="shared" si="13"/>
        <v>0</v>
      </c>
      <c r="M85" s="175">
        <f t="shared" si="13"/>
        <v>0</v>
      </c>
      <c r="N85" s="175">
        <f t="shared" si="13"/>
        <v>0</v>
      </c>
      <c r="O85" s="175">
        <f t="shared" si="13"/>
        <v>0</v>
      </c>
      <c r="P85" s="174">
        <f>_xlfn.IFNA(VLOOKUP(A85,'Op Budget 2016'!$C$15:$Q$53,15,FALSE),)</f>
        <v>0</v>
      </c>
      <c r="Q85" s="174">
        <f t="shared" si="5"/>
        <v>0</v>
      </c>
    </row>
    <row r="86" spans="1:18" x14ac:dyDescent="0.25">
      <c r="A86" s="1" t="s">
        <v>71</v>
      </c>
      <c r="B86" s="5" t="s">
        <v>72</v>
      </c>
      <c r="C86" s="175">
        <v>75922</v>
      </c>
      <c r="D86" s="175">
        <f>13347.01+6085</f>
        <v>19432.010000000002</v>
      </c>
      <c r="E86" s="175">
        <v>0</v>
      </c>
      <c r="F86" s="175">
        <v>0</v>
      </c>
      <c r="G86" s="175">
        <f>13347.01+6084.99</f>
        <v>19432</v>
      </c>
      <c r="H86" s="175">
        <v>0</v>
      </c>
      <c r="I86" s="175">
        <v>0</v>
      </c>
      <c r="J86" s="175">
        <f>G86*1.05</f>
        <v>20403.600000000002</v>
      </c>
      <c r="K86" s="175">
        <v>0</v>
      </c>
      <c r="L86" s="175">
        <v>0</v>
      </c>
      <c r="M86" s="175">
        <f>J86</f>
        <v>20403.600000000002</v>
      </c>
      <c r="N86" s="175">
        <v>0</v>
      </c>
      <c r="O86" s="175">
        <v>0</v>
      </c>
      <c r="P86" s="174">
        <f>SUM(D86:O86)</f>
        <v>79671.210000000006</v>
      </c>
      <c r="Q86" s="174">
        <f t="shared" si="5"/>
        <v>3749.2100000000064</v>
      </c>
    </row>
    <row r="87" spans="1:18" x14ac:dyDescent="0.25">
      <c r="A87" s="1" t="s">
        <v>73</v>
      </c>
      <c r="B87" s="5" t="s">
        <v>74</v>
      </c>
      <c r="C87" s="175">
        <v>12120</v>
      </c>
      <c r="D87" s="175">
        <f>8270*1.05</f>
        <v>8683.5</v>
      </c>
      <c r="E87" s="175">
        <v>0</v>
      </c>
      <c r="F87" s="175">
        <v>0</v>
      </c>
      <c r="G87" s="175">
        <f>2494*1.05</f>
        <v>2618.7000000000003</v>
      </c>
      <c r="H87" s="175">
        <f>2494*1.05</f>
        <v>2618.7000000000003</v>
      </c>
      <c r="I87" s="175">
        <f>3814*1.05</f>
        <v>4004.7000000000003</v>
      </c>
      <c r="J87" s="175">
        <f>4000*1.05</f>
        <v>4200</v>
      </c>
      <c r="K87" s="175">
        <v>0</v>
      </c>
      <c r="L87" s="175">
        <f>4000*1.05</f>
        <v>4200</v>
      </c>
      <c r="M87" s="175">
        <f>2494*1.05</f>
        <v>2618.7000000000003</v>
      </c>
      <c r="N87" s="175">
        <v>0</v>
      </c>
      <c r="O87" s="175">
        <v>0</v>
      </c>
      <c r="P87" s="174">
        <f>SUM(D87:O87)</f>
        <v>28944.300000000003</v>
      </c>
      <c r="Q87" s="174">
        <f t="shared" si="5"/>
        <v>16824.300000000003</v>
      </c>
      <c r="R87" t="s">
        <v>513</v>
      </c>
    </row>
    <row r="88" spans="1:18" x14ac:dyDescent="0.25">
      <c r="A88" s="1" t="s">
        <v>75</v>
      </c>
      <c r="B88" s="5" t="s">
        <v>76</v>
      </c>
      <c r="C88" s="175">
        <v>81</v>
      </c>
      <c r="D88" s="175">
        <v>0</v>
      </c>
      <c r="E88" s="175">
        <v>0</v>
      </c>
      <c r="F88" s="175">
        <f>P88/2</f>
        <v>250</v>
      </c>
      <c r="G88" s="175">
        <v>0</v>
      </c>
      <c r="H88" s="175">
        <v>0</v>
      </c>
      <c r="I88" s="175">
        <v>0</v>
      </c>
      <c r="J88" s="175">
        <v>0</v>
      </c>
      <c r="K88" s="175">
        <v>0</v>
      </c>
      <c r="L88" s="175">
        <f>P88/2</f>
        <v>250</v>
      </c>
      <c r="M88" s="175">
        <v>0</v>
      </c>
      <c r="N88" s="175">
        <v>0</v>
      </c>
      <c r="O88" s="175">
        <v>0</v>
      </c>
      <c r="P88" s="174">
        <v>500</v>
      </c>
      <c r="Q88" s="174">
        <f t="shared" si="5"/>
        <v>419</v>
      </c>
    </row>
    <row r="89" spans="1:18" x14ac:dyDescent="0.25">
      <c r="A89" s="1" t="s">
        <v>192</v>
      </c>
      <c r="B89" s="5" t="s">
        <v>191</v>
      </c>
      <c r="C89" s="175">
        <f t="shared" ref="C89:O97" si="15">$P89/12</f>
        <v>0</v>
      </c>
      <c r="D89" s="175">
        <f t="shared" si="15"/>
        <v>0</v>
      </c>
      <c r="E89" s="175">
        <f t="shared" si="15"/>
        <v>0</v>
      </c>
      <c r="F89" s="175">
        <f t="shared" si="15"/>
        <v>0</v>
      </c>
      <c r="G89" s="175">
        <f t="shared" si="15"/>
        <v>0</v>
      </c>
      <c r="H89" s="175">
        <f t="shared" si="15"/>
        <v>0</v>
      </c>
      <c r="I89" s="175">
        <f t="shared" si="15"/>
        <v>0</v>
      </c>
      <c r="J89" s="175">
        <f t="shared" si="15"/>
        <v>0</v>
      </c>
      <c r="K89" s="175">
        <f t="shared" si="15"/>
        <v>0</v>
      </c>
      <c r="L89" s="175">
        <f t="shared" si="15"/>
        <v>0</v>
      </c>
      <c r="M89" s="175">
        <f t="shared" si="15"/>
        <v>0</v>
      </c>
      <c r="N89" s="175">
        <f t="shared" si="15"/>
        <v>0</v>
      </c>
      <c r="O89" s="175">
        <f t="shared" si="15"/>
        <v>0</v>
      </c>
      <c r="P89" s="174">
        <f>_xlfn.IFNA(VLOOKUP(A89,'Op Budget 2016'!$C$15:$Q$53,15,FALSE),)</f>
        <v>0</v>
      </c>
      <c r="Q89" s="174">
        <f t="shared" si="5"/>
        <v>0</v>
      </c>
    </row>
    <row r="90" spans="1:18" x14ac:dyDescent="0.25">
      <c r="A90" s="1" t="s">
        <v>77</v>
      </c>
      <c r="B90" s="5" t="s">
        <v>78</v>
      </c>
      <c r="C90" s="175">
        <f t="shared" si="15"/>
        <v>0</v>
      </c>
      <c r="D90" s="175">
        <f t="shared" si="15"/>
        <v>0</v>
      </c>
      <c r="E90" s="175">
        <f t="shared" si="15"/>
        <v>0</v>
      </c>
      <c r="F90" s="175">
        <f t="shared" si="15"/>
        <v>0</v>
      </c>
      <c r="G90" s="175">
        <f t="shared" si="15"/>
        <v>0</v>
      </c>
      <c r="H90" s="175">
        <f t="shared" si="15"/>
        <v>0</v>
      </c>
      <c r="I90" s="175">
        <f t="shared" si="15"/>
        <v>0</v>
      </c>
      <c r="J90" s="175">
        <f t="shared" si="15"/>
        <v>0</v>
      </c>
      <c r="K90" s="175">
        <f t="shared" si="15"/>
        <v>0</v>
      </c>
      <c r="L90" s="175">
        <f t="shared" si="15"/>
        <v>0</v>
      </c>
      <c r="M90" s="175">
        <f t="shared" si="15"/>
        <v>0</v>
      </c>
      <c r="N90" s="175">
        <f t="shared" si="15"/>
        <v>0</v>
      </c>
      <c r="O90" s="175">
        <f t="shared" si="15"/>
        <v>0</v>
      </c>
      <c r="P90" s="174">
        <f>_xlfn.IFNA(VLOOKUP(A90,'Op Budget 2016'!$C$15:$Q$53,15,FALSE),)</f>
        <v>0</v>
      </c>
      <c r="Q90" s="174">
        <f t="shared" si="5"/>
        <v>0</v>
      </c>
    </row>
    <row r="91" spans="1:18" x14ac:dyDescent="0.25">
      <c r="A91" s="123" t="s">
        <v>249</v>
      </c>
      <c r="B91" s="5" t="s">
        <v>474</v>
      </c>
      <c r="C91" s="175">
        <v>0</v>
      </c>
      <c r="D91" s="175">
        <f t="shared" si="15"/>
        <v>175</v>
      </c>
      <c r="E91" s="175">
        <f t="shared" si="15"/>
        <v>175</v>
      </c>
      <c r="F91" s="175">
        <f t="shared" si="15"/>
        <v>175</v>
      </c>
      <c r="G91" s="175">
        <f t="shared" si="15"/>
        <v>175</v>
      </c>
      <c r="H91" s="175">
        <f t="shared" si="15"/>
        <v>175</v>
      </c>
      <c r="I91" s="175">
        <f t="shared" si="15"/>
        <v>175</v>
      </c>
      <c r="J91" s="175">
        <f t="shared" si="15"/>
        <v>175</v>
      </c>
      <c r="K91" s="175">
        <f t="shared" si="15"/>
        <v>175</v>
      </c>
      <c r="L91" s="175">
        <f t="shared" si="15"/>
        <v>175</v>
      </c>
      <c r="M91" s="175">
        <f t="shared" si="15"/>
        <v>175</v>
      </c>
      <c r="N91" s="175">
        <f t="shared" si="15"/>
        <v>175</v>
      </c>
      <c r="O91" s="175">
        <f t="shared" si="15"/>
        <v>175</v>
      </c>
      <c r="P91" s="174">
        <v>2100</v>
      </c>
      <c r="Q91" s="174">
        <f t="shared" si="5"/>
        <v>2100</v>
      </c>
      <c r="R91" t="s">
        <v>514</v>
      </c>
    </row>
    <row r="92" spans="1:18" x14ac:dyDescent="0.25">
      <c r="A92" s="1" t="s">
        <v>79</v>
      </c>
      <c r="B92" s="5" t="s">
        <v>80</v>
      </c>
      <c r="C92" s="175">
        <v>0</v>
      </c>
      <c r="D92" s="175">
        <f t="shared" si="15"/>
        <v>15</v>
      </c>
      <c r="E92" s="175">
        <f t="shared" si="15"/>
        <v>15</v>
      </c>
      <c r="F92" s="175">
        <f t="shared" si="15"/>
        <v>15</v>
      </c>
      <c r="G92" s="175">
        <f t="shared" si="15"/>
        <v>15</v>
      </c>
      <c r="H92" s="175">
        <f t="shared" si="15"/>
        <v>15</v>
      </c>
      <c r="I92" s="175">
        <f t="shared" si="15"/>
        <v>15</v>
      </c>
      <c r="J92" s="175">
        <f t="shared" si="15"/>
        <v>15</v>
      </c>
      <c r="K92" s="175">
        <f t="shared" si="15"/>
        <v>15</v>
      </c>
      <c r="L92" s="175">
        <f t="shared" si="15"/>
        <v>15</v>
      </c>
      <c r="M92" s="175">
        <f t="shared" si="15"/>
        <v>15</v>
      </c>
      <c r="N92" s="175">
        <f t="shared" si="15"/>
        <v>15</v>
      </c>
      <c r="O92" s="175">
        <f t="shared" si="15"/>
        <v>15</v>
      </c>
      <c r="P92" s="174">
        <v>180</v>
      </c>
      <c r="Q92" s="174">
        <f t="shared" si="5"/>
        <v>180</v>
      </c>
    </row>
    <row r="93" spans="1:18" x14ac:dyDescent="0.25">
      <c r="A93" s="1" t="s">
        <v>81</v>
      </c>
      <c r="B93" s="5" t="s">
        <v>82</v>
      </c>
      <c r="C93" s="175">
        <v>0</v>
      </c>
      <c r="D93" s="175">
        <f t="shared" si="15"/>
        <v>0</v>
      </c>
      <c r="E93" s="175">
        <f t="shared" si="15"/>
        <v>0</v>
      </c>
      <c r="F93" s="175">
        <f t="shared" si="15"/>
        <v>0</v>
      </c>
      <c r="G93" s="175">
        <f t="shared" si="15"/>
        <v>0</v>
      </c>
      <c r="H93" s="175">
        <f t="shared" si="15"/>
        <v>0</v>
      </c>
      <c r="I93" s="175">
        <f t="shared" si="15"/>
        <v>0</v>
      </c>
      <c r="J93" s="175">
        <f t="shared" si="15"/>
        <v>0</v>
      </c>
      <c r="K93" s="175">
        <f t="shared" si="15"/>
        <v>0</v>
      </c>
      <c r="L93" s="175">
        <f t="shared" si="15"/>
        <v>0</v>
      </c>
      <c r="M93" s="175">
        <f t="shared" si="15"/>
        <v>0</v>
      </c>
      <c r="N93" s="175">
        <f t="shared" si="15"/>
        <v>0</v>
      </c>
      <c r="O93" s="175">
        <f t="shared" si="15"/>
        <v>0</v>
      </c>
      <c r="P93" s="174">
        <v>0</v>
      </c>
      <c r="Q93" s="174">
        <f t="shared" si="5"/>
        <v>0</v>
      </c>
    </row>
    <row r="94" spans="1:18" x14ac:dyDescent="0.25">
      <c r="A94" s="1" t="s">
        <v>83</v>
      </c>
      <c r="B94" s="5" t="s">
        <v>84</v>
      </c>
      <c r="C94" s="175">
        <v>0</v>
      </c>
      <c r="D94" s="175">
        <f t="shared" si="15"/>
        <v>0</v>
      </c>
      <c r="E94" s="175">
        <f t="shared" si="15"/>
        <v>0</v>
      </c>
      <c r="F94" s="175">
        <f t="shared" si="15"/>
        <v>0</v>
      </c>
      <c r="G94" s="175">
        <f t="shared" si="15"/>
        <v>0</v>
      </c>
      <c r="H94" s="175">
        <f t="shared" si="15"/>
        <v>0</v>
      </c>
      <c r="I94" s="175">
        <f t="shared" si="15"/>
        <v>0</v>
      </c>
      <c r="J94" s="175">
        <f t="shared" si="15"/>
        <v>0</v>
      </c>
      <c r="K94" s="175">
        <f t="shared" si="15"/>
        <v>0</v>
      </c>
      <c r="L94" s="175">
        <f t="shared" si="15"/>
        <v>0</v>
      </c>
      <c r="M94" s="175">
        <f t="shared" si="15"/>
        <v>0</v>
      </c>
      <c r="N94" s="175">
        <f t="shared" si="15"/>
        <v>0</v>
      </c>
      <c r="O94" s="175">
        <f t="shared" si="15"/>
        <v>0</v>
      </c>
      <c r="P94" s="174">
        <v>0</v>
      </c>
      <c r="Q94" s="174">
        <f t="shared" si="5"/>
        <v>0</v>
      </c>
    </row>
    <row r="95" spans="1:18" x14ac:dyDescent="0.25">
      <c r="A95" s="1" t="s">
        <v>85</v>
      </c>
      <c r="B95" s="5" t="s">
        <v>86</v>
      </c>
      <c r="C95" s="175">
        <f t="shared" si="15"/>
        <v>0</v>
      </c>
      <c r="D95" s="175">
        <f t="shared" si="15"/>
        <v>0</v>
      </c>
      <c r="E95" s="175">
        <f t="shared" si="15"/>
        <v>0</v>
      </c>
      <c r="F95" s="175">
        <f t="shared" si="15"/>
        <v>0</v>
      </c>
      <c r="G95" s="175">
        <f t="shared" si="15"/>
        <v>0</v>
      </c>
      <c r="H95" s="175">
        <f t="shared" si="15"/>
        <v>0</v>
      </c>
      <c r="I95" s="175">
        <f t="shared" si="15"/>
        <v>0</v>
      </c>
      <c r="J95" s="175">
        <f t="shared" si="15"/>
        <v>0</v>
      </c>
      <c r="K95" s="175">
        <f t="shared" si="15"/>
        <v>0</v>
      </c>
      <c r="L95" s="175">
        <f t="shared" si="15"/>
        <v>0</v>
      </c>
      <c r="M95" s="175">
        <f t="shared" si="15"/>
        <v>0</v>
      </c>
      <c r="N95" s="175">
        <f t="shared" si="15"/>
        <v>0</v>
      </c>
      <c r="O95" s="175">
        <f t="shared" si="15"/>
        <v>0</v>
      </c>
      <c r="P95" s="174">
        <f>_xlfn.IFNA(VLOOKUP(A95,'Op Budget 2016'!$C$15:$Q$53,15,FALSE),)</f>
        <v>0</v>
      </c>
      <c r="Q95" s="174">
        <f t="shared" si="5"/>
        <v>0</v>
      </c>
    </row>
    <row r="96" spans="1:18" x14ac:dyDescent="0.25">
      <c r="A96" s="1" t="s">
        <v>87</v>
      </c>
      <c r="B96" s="5" t="s">
        <v>88</v>
      </c>
      <c r="C96" s="175">
        <v>3654</v>
      </c>
      <c r="D96" s="175">
        <f t="shared" si="15"/>
        <v>241.66666666666666</v>
      </c>
      <c r="E96" s="175">
        <f t="shared" si="15"/>
        <v>241.66666666666666</v>
      </c>
      <c r="F96" s="175">
        <f t="shared" si="15"/>
        <v>241.66666666666666</v>
      </c>
      <c r="G96" s="175">
        <f t="shared" si="15"/>
        <v>241.66666666666666</v>
      </c>
      <c r="H96" s="175">
        <f t="shared" si="15"/>
        <v>241.66666666666666</v>
      </c>
      <c r="I96" s="175">
        <f t="shared" si="15"/>
        <v>241.66666666666666</v>
      </c>
      <c r="J96" s="175">
        <f t="shared" si="15"/>
        <v>241.66666666666666</v>
      </c>
      <c r="K96" s="175">
        <f t="shared" si="15"/>
        <v>241.66666666666666</v>
      </c>
      <c r="L96" s="175">
        <f t="shared" si="15"/>
        <v>241.66666666666666</v>
      </c>
      <c r="M96" s="175">
        <f t="shared" si="15"/>
        <v>241.66666666666666</v>
      </c>
      <c r="N96" s="175">
        <f t="shared" si="15"/>
        <v>241.66666666666666</v>
      </c>
      <c r="O96" s="175">
        <f t="shared" si="15"/>
        <v>241.66666666666666</v>
      </c>
      <c r="P96" s="174">
        <v>2900</v>
      </c>
      <c r="Q96" s="174">
        <f t="shared" si="5"/>
        <v>-754</v>
      </c>
    </row>
    <row r="97" spans="1:23" x14ac:dyDescent="0.25">
      <c r="A97" s="1" t="s">
        <v>89</v>
      </c>
      <c r="B97" s="5" t="s">
        <v>90</v>
      </c>
      <c r="C97" s="175">
        <v>3600</v>
      </c>
      <c r="D97" s="175">
        <v>300</v>
      </c>
      <c r="E97" s="175">
        <f t="shared" si="15"/>
        <v>300</v>
      </c>
      <c r="F97" s="175">
        <f t="shared" si="15"/>
        <v>300</v>
      </c>
      <c r="G97" s="175">
        <f t="shared" si="15"/>
        <v>300</v>
      </c>
      <c r="H97" s="175">
        <f t="shared" si="15"/>
        <v>300</v>
      </c>
      <c r="I97" s="175">
        <f t="shared" si="15"/>
        <v>300</v>
      </c>
      <c r="J97" s="175">
        <f t="shared" si="15"/>
        <v>300</v>
      </c>
      <c r="K97" s="175">
        <f t="shared" si="15"/>
        <v>300</v>
      </c>
      <c r="L97" s="175">
        <f t="shared" si="15"/>
        <v>300</v>
      </c>
      <c r="M97" s="175">
        <f t="shared" si="15"/>
        <v>300</v>
      </c>
      <c r="N97" s="175">
        <f t="shared" si="15"/>
        <v>300</v>
      </c>
      <c r="O97" s="175">
        <f t="shared" si="15"/>
        <v>300</v>
      </c>
      <c r="P97" s="174">
        <v>3600</v>
      </c>
      <c r="Q97" s="174">
        <f t="shared" si="5"/>
        <v>0</v>
      </c>
    </row>
    <row r="98" spans="1:23" x14ac:dyDescent="0.25">
      <c r="A98" s="1" t="s">
        <v>91</v>
      </c>
      <c r="B98" s="5" t="s">
        <v>92</v>
      </c>
      <c r="C98" s="175">
        <v>17219</v>
      </c>
      <c r="D98" s="175">
        <v>0</v>
      </c>
      <c r="E98" s="175">
        <v>0</v>
      </c>
      <c r="F98" s="175">
        <v>0</v>
      </c>
      <c r="G98" s="175">
        <v>0</v>
      </c>
      <c r="H98" s="175">
        <v>0</v>
      </c>
      <c r="I98" s="175">
        <v>0</v>
      </c>
      <c r="J98" s="175">
        <v>0</v>
      </c>
      <c r="K98" s="175">
        <v>0</v>
      </c>
      <c r="L98" s="175">
        <v>0</v>
      </c>
      <c r="M98" s="175">
        <v>0</v>
      </c>
      <c r="N98" s="175">
        <v>0</v>
      </c>
      <c r="O98" s="175">
        <v>0</v>
      </c>
      <c r="P98" s="174">
        <f>SUM(D98:O98)</f>
        <v>0</v>
      </c>
      <c r="Q98" s="174">
        <f t="shared" si="5"/>
        <v>-17219</v>
      </c>
    </row>
    <row r="99" spans="1:23" ht="15.75" thickBot="1" x14ac:dyDescent="0.3">
      <c r="A99" s="1"/>
      <c r="B99" s="5"/>
      <c r="C99" s="179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 t="str">
        <f t="shared" si="5"/>
        <v/>
      </c>
    </row>
    <row r="100" spans="1:23" s="121" customFormat="1" x14ac:dyDescent="0.25">
      <c r="A100" s="6" t="s">
        <v>93</v>
      </c>
      <c r="B100" s="3" t="s">
        <v>94</v>
      </c>
      <c r="C100" s="176">
        <f t="shared" ref="C100" si="16">SUM(C82:C99)</f>
        <v>112596</v>
      </c>
      <c r="D100" s="176">
        <f t="shared" ref="D100:O100" si="17">SUM(D82:D99)</f>
        <v>28847.17666666667</v>
      </c>
      <c r="E100" s="176">
        <f t="shared" si="17"/>
        <v>731.66666666666663</v>
      </c>
      <c r="F100" s="176">
        <f t="shared" si="17"/>
        <v>981.66666666666663</v>
      </c>
      <c r="G100" s="176">
        <f t="shared" si="17"/>
        <v>22782.366666666669</v>
      </c>
      <c r="H100" s="176">
        <f t="shared" si="17"/>
        <v>3350.3666666666668</v>
      </c>
      <c r="I100" s="176">
        <f t="shared" si="17"/>
        <v>4736.3666666666677</v>
      </c>
      <c r="J100" s="176">
        <f t="shared" si="17"/>
        <v>25335.26666666667</v>
      </c>
      <c r="K100" s="176">
        <f t="shared" si="17"/>
        <v>731.66666666666663</v>
      </c>
      <c r="L100" s="176">
        <f t="shared" si="17"/>
        <v>5181.666666666667</v>
      </c>
      <c r="M100" s="176">
        <f t="shared" si="17"/>
        <v>23753.966666666671</v>
      </c>
      <c r="N100" s="176">
        <f t="shared" si="17"/>
        <v>731.66666666666663</v>
      </c>
      <c r="O100" s="176">
        <f t="shared" si="17"/>
        <v>731.66666666666663</v>
      </c>
      <c r="P100" s="176">
        <f>SUM(P82:P99)</f>
        <v>117895.51000000001</v>
      </c>
      <c r="Q100" s="176">
        <f t="shared" si="5"/>
        <v>5299.5100000000093</v>
      </c>
    </row>
    <row r="101" spans="1:23" x14ac:dyDescent="0.25">
      <c r="A101" s="1"/>
      <c r="B101" s="5"/>
      <c r="C101" s="179"/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 t="str">
        <f t="shared" si="5"/>
        <v/>
      </c>
    </row>
    <row r="102" spans="1:23" x14ac:dyDescent="0.25">
      <c r="A102" s="1" t="s">
        <v>95</v>
      </c>
      <c r="B102" s="5" t="s">
        <v>96</v>
      </c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 t="str">
        <f t="shared" si="5"/>
        <v/>
      </c>
      <c r="T102" s="186"/>
      <c r="U102" s="218"/>
      <c r="V102" s="218"/>
      <c r="W102" s="218"/>
    </row>
    <row r="103" spans="1:23" x14ac:dyDescent="0.25">
      <c r="A103" s="1" t="s">
        <v>258</v>
      </c>
      <c r="B103" s="5" t="s">
        <v>386</v>
      </c>
      <c r="C103" s="175">
        <v>2923</v>
      </c>
      <c r="D103" s="175">
        <f t="shared" ref="D103:O103" si="18">$P$103/12</f>
        <v>175.38</v>
      </c>
      <c r="E103" s="175">
        <f t="shared" si="18"/>
        <v>175.38</v>
      </c>
      <c r="F103" s="175">
        <f t="shared" si="18"/>
        <v>175.38</v>
      </c>
      <c r="G103" s="175">
        <f t="shared" si="18"/>
        <v>175.38</v>
      </c>
      <c r="H103" s="175">
        <f t="shared" si="18"/>
        <v>175.38</v>
      </c>
      <c r="I103" s="175">
        <f t="shared" si="18"/>
        <v>175.38</v>
      </c>
      <c r="J103" s="175">
        <f t="shared" si="18"/>
        <v>175.38</v>
      </c>
      <c r="K103" s="175">
        <f t="shared" si="18"/>
        <v>175.38</v>
      </c>
      <c r="L103" s="175">
        <f t="shared" si="18"/>
        <v>175.38</v>
      </c>
      <c r="M103" s="175">
        <f t="shared" si="18"/>
        <v>175.38</v>
      </c>
      <c r="N103" s="175">
        <f t="shared" si="18"/>
        <v>175.38</v>
      </c>
      <c r="O103" s="175">
        <f t="shared" si="18"/>
        <v>175.38</v>
      </c>
      <c r="P103" s="174">
        <f>C103*0.72</f>
        <v>2104.56</v>
      </c>
      <c r="Q103" s="174">
        <f t="shared" si="5"/>
        <v>-818.44</v>
      </c>
      <c r="R103" t="s">
        <v>532</v>
      </c>
      <c r="U103" s="242"/>
      <c r="V103" s="218"/>
      <c r="W103" s="244"/>
    </row>
    <row r="104" spans="1:23" x14ac:dyDescent="0.25">
      <c r="A104" s="1" t="s">
        <v>97</v>
      </c>
      <c r="B104" s="5" t="s">
        <v>98</v>
      </c>
      <c r="C104" s="175">
        <v>35</v>
      </c>
      <c r="D104" s="175">
        <v>0</v>
      </c>
      <c r="E104" s="175">
        <v>0</v>
      </c>
      <c r="F104" s="175">
        <f>103*0.7</f>
        <v>72.099999999999994</v>
      </c>
      <c r="G104" s="175">
        <f>20*0.7</f>
        <v>14</v>
      </c>
      <c r="H104" s="175">
        <v>0</v>
      </c>
      <c r="I104" s="175">
        <v>0</v>
      </c>
      <c r="J104" s="175">
        <f>117*0.7</f>
        <v>81.899999999999991</v>
      </c>
      <c r="K104" s="175">
        <f>78*0.7</f>
        <v>54.599999999999994</v>
      </c>
      <c r="L104" s="175">
        <v>0</v>
      </c>
      <c r="M104" s="175">
        <v>0</v>
      </c>
      <c r="N104" s="175">
        <v>0</v>
      </c>
      <c r="O104" s="175">
        <v>0</v>
      </c>
      <c r="P104" s="174">
        <v>85</v>
      </c>
      <c r="Q104" s="174">
        <f t="shared" si="5"/>
        <v>50</v>
      </c>
      <c r="R104" t="s">
        <v>537</v>
      </c>
      <c r="U104" s="242"/>
      <c r="V104" s="218"/>
      <c r="W104" s="244"/>
    </row>
    <row r="105" spans="1:23" x14ac:dyDescent="0.25">
      <c r="A105" s="1" t="s">
        <v>99</v>
      </c>
      <c r="B105" s="5" t="s">
        <v>100</v>
      </c>
      <c r="C105" s="175">
        <v>1932</v>
      </c>
      <c r="D105" s="175">
        <f t="shared" ref="D105:O105" si="19">$P$105/12</f>
        <v>115.92</v>
      </c>
      <c r="E105" s="175">
        <f t="shared" si="19"/>
        <v>115.92</v>
      </c>
      <c r="F105" s="175">
        <f t="shared" si="19"/>
        <v>115.92</v>
      </c>
      <c r="G105" s="175">
        <f t="shared" si="19"/>
        <v>115.92</v>
      </c>
      <c r="H105" s="175">
        <f t="shared" si="19"/>
        <v>115.92</v>
      </c>
      <c r="I105" s="175">
        <f t="shared" si="19"/>
        <v>115.92</v>
      </c>
      <c r="J105" s="175">
        <f t="shared" si="19"/>
        <v>115.92</v>
      </c>
      <c r="K105" s="175">
        <f t="shared" si="19"/>
        <v>115.92</v>
      </c>
      <c r="L105" s="175">
        <f t="shared" si="19"/>
        <v>115.92</v>
      </c>
      <c r="M105" s="175">
        <f t="shared" si="19"/>
        <v>115.92</v>
      </c>
      <c r="N105" s="175">
        <f t="shared" si="19"/>
        <v>115.92</v>
      </c>
      <c r="O105" s="175">
        <f t="shared" si="19"/>
        <v>115.92</v>
      </c>
      <c r="P105" s="174">
        <f t="shared" ref="P105:P108" si="20">C105*0.72</f>
        <v>1391.04</v>
      </c>
      <c r="Q105" s="174">
        <f t="shared" si="5"/>
        <v>-540.96</v>
      </c>
      <c r="R105" t="s">
        <v>532</v>
      </c>
      <c r="U105" s="242"/>
      <c r="V105" s="218"/>
      <c r="W105" s="218"/>
    </row>
    <row r="106" spans="1:23" x14ac:dyDescent="0.25">
      <c r="A106" s="1" t="s">
        <v>101</v>
      </c>
      <c r="B106" s="5" t="s">
        <v>102</v>
      </c>
      <c r="C106" s="175">
        <f t="shared" ref="C106:O106" si="21">$P$106/12</f>
        <v>0</v>
      </c>
      <c r="D106" s="175">
        <f t="shared" si="21"/>
        <v>0</v>
      </c>
      <c r="E106" s="175">
        <f t="shared" si="21"/>
        <v>0</v>
      </c>
      <c r="F106" s="175">
        <f t="shared" si="21"/>
        <v>0</v>
      </c>
      <c r="G106" s="175">
        <f t="shared" si="21"/>
        <v>0</v>
      </c>
      <c r="H106" s="175">
        <f t="shared" si="21"/>
        <v>0</v>
      </c>
      <c r="I106" s="175">
        <f t="shared" si="21"/>
        <v>0</v>
      </c>
      <c r="J106" s="175">
        <f t="shared" si="21"/>
        <v>0</v>
      </c>
      <c r="K106" s="175">
        <f t="shared" si="21"/>
        <v>0</v>
      </c>
      <c r="L106" s="175">
        <f t="shared" si="21"/>
        <v>0</v>
      </c>
      <c r="M106" s="175">
        <f t="shared" si="21"/>
        <v>0</v>
      </c>
      <c r="N106" s="175">
        <f t="shared" si="21"/>
        <v>0</v>
      </c>
      <c r="O106" s="175">
        <f t="shared" si="21"/>
        <v>0</v>
      </c>
      <c r="P106" s="174">
        <v>0</v>
      </c>
      <c r="Q106" s="174">
        <f t="shared" si="5"/>
        <v>0</v>
      </c>
      <c r="U106" s="243"/>
    </row>
    <row r="107" spans="1:23" x14ac:dyDescent="0.25">
      <c r="A107" s="229" t="s">
        <v>265</v>
      </c>
      <c r="B107" s="5" t="s">
        <v>531</v>
      </c>
      <c r="C107" s="175">
        <v>139</v>
      </c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4">
        <f t="shared" si="20"/>
        <v>100.08</v>
      </c>
      <c r="Q107" s="174">
        <f t="shared" si="5"/>
        <v>-38.92</v>
      </c>
      <c r="R107" t="s">
        <v>532</v>
      </c>
    </row>
    <row r="108" spans="1:23" x14ac:dyDescent="0.25">
      <c r="A108" s="1" t="s">
        <v>103</v>
      </c>
      <c r="B108" s="5" t="s">
        <v>104</v>
      </c>
      <c r="C108" s="175">
        <v>329</v>
      </c>
      <c r="D108" s="175">
        <f>20*0.7</f>
        <v>14</v>
      </c>
      <c r="E108" s="175">
        <f t="shared" ref="E108:O108" si="22">20*0.7</f>
        <v>14</v>
      </c>
      <c r="F108" s="175">
        <f t="shared" si="22"/>
        <v>14</v>
      </c>
      <c r="G108" s="175">
        <f t="shared" si="22"/>
        <v>14</v>
      </c>
      <c r="H108" s="175">
        <f t="shared" si="22"/>
        <v>14</v>
      </c>
      <c r="I108" s="175">
        <f t="shared" si="22"/>
        <v>14</v>
      </c>
      <c r="J108" s="175">
        <f t="shared" si="22"/>
        <v>14</v>
      </c>
      <c r="K108" s="175">
        <f t="shared" si="22"/>
        <v>14</v>
      </c>
      <c r="L108" s="175">
        <f t="shared" si="22"/>
        <v>14</v>
      </c>
      <c r="M108" s="175">
        <f t="shared" si="22"/>
        <v>14</v>
      </c>
      <c r="N108" s="175">
        <f t="shared" si="22"/>
        <v>14</v>
      </c>
      <c r="O108" s="175">
        <f t="shared" si="22"/>
        <v>14</v>
      </c>
      <c r="P108" s="174">
        <f t="shared" si="20"/>
        <v>236.88</v>
      </c>
      <c r="Q108" s="174">
        <f t="shared" si="5"/>
        <v>-92.12</v>
      </c>
      <c r="R108" t="s">
        <v>532</v>
      </c>
      <c r="W108" s="217"/>
    </row>
    <row r="109" spans="1:23" ht="15.75" thickBot="1" x14ac:dyDescent="0.3">
      <c r="A109" s="1"/>
      <c r="B109" s="5"/>
      <c r="C109" s="179"/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 t="str">
        <f t="shared" si="5"/>
        <v/>
      </c>
    </row>
    <row r="110" spans="1:23" s="121" customFormat="1" x14ac:dyDescent="0.25">
      <c r="A110" s="6" t="s">
        <v>105</v>
      </c>
      <c r="B110" s="3" t="s">
        <v>106</v>
      </c>
      <c r="C110" s="176">
        <f t="shared" ref="C110" si="23">SUM(C103:C109)</f>
        <v>5358</v>
      </c>
      <c r="D110" s="176">
        <f t="shared" ref="D110:O110" si="24">SUM(D103:D109)</f>
        <v>305.3</v>
      </c>
      <c r="E110" s="176">
        <f t="shared" si="24"/>
        <v>305.3</v>
      </c>
      <c r="F110" s="176">
        <f t="shared" si="24"/>
        <v>377.4</v>
      </c>
      <c r="G110" s="176">
        <f t="shared" si="24"/>
        <v>319.3</v>
      </c>
      <c r="H110" s="176">
        <f t="shared" si="24"/>
        <v>305.3</v>
      </c>
      <c r="I110" s="176">
        <f t="shared" si="24"/>
        <v>305.3</v>
      </c>
      <c r="J110" s="176">
        <f t="shared" si="24"/>
        <v>387.2</v>
      </c>
      <c r="K110" s="176">
        <f t="shared" si="24"/>
        <v>359.9</v>
      </c>
      <c r="L110" s="176">
        <f t="shared" si="24"/>
        <v>305.3</v>
      </c>
      <c r="M110" s="176">
        <f t="shared" si="24"/>
        <v>305.3</v>
      </c>
      <c r="N110" s="176">
        <f t="shared" si="24"/>
        <v>305.3</v>
      </c>
      <c r="O110" s="176">
        <f t="shared" si="24"/>
        <v>305.3</v>
      </c>
      <c r="P110" s="176">
        <f>SUM(P103:P109)</f>
        <v>3917.56</v>
      </c>
      <c r="Q110" s="176">
        <f t="shared" si="5"/>
        <v>-1440.44</v>
      </c>
    </row>
    <row r="111" spans="1:23" x14ac:dyDescent="0.25">
      <c r="A111" s="1"/>
      <c r="B111" s="5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 t="str">
        <f t="shared" si="5"/>
        <v/>
      </c>
    </row>
    <row r="112" spans="1:23" x14ac:dyDescent="0.25">
      <c r="A112" s="1" t="s">
        <v>107</v>
      </c>
      <c r="B112" s="5" t="s">
        <v>108</v>
      </c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 t="str">
        <f t="shared" si="5"/>
        <v/>
      </c>
    </row>
    <row r="113" spans="1:18" ht="15.75" thickBot="1" x14ac:dyDescent="0.3">
      <c r="A113" s="1" t="s">
        <v>109</v>
      </c>
      <c r="B113" s="5" t="s">
        <v>110</v>
      </c>
      <c r="C113" s="174">
        <v>68661</v>
      </c>
      <c r="D113" s="174">
        <v>5341.98</v>
      </c>
      <c r="E113" s="174">
        <v>5145.21</v>
      </c>
      <c r="F113" s="174">
        <v>6049.15</v>
      </c>
      <c r="G113" s="174">
        <v>5301.14</v>
      </c>
      <c r="H113" s="174">
        <v>5470.34</v>
      </c>
      <c r="I113" s="174">
        <v>5819.87</v>
      </c>
      <c r="J113" s="174">
        <v>5261.02</v>
      </c>
      <c r="K113" s="174">
        <v>5609.07</v>
      </c>
      <c r="L113" s="174">
        <v>5594.83</v>
      </c>
      <c r="M113" s="174">
        <v>5400.53</v>
      </c>
      <c r="N113" s="174">
        <v>5386.09</v>
      </c>
      <c r="O113" s="174">
        <v>5730.32</v>
      </c>
      <c r="P113" s="174">
        <f>SUM(D113:O113)</f>
        <v>66109.549999999988</v>
      </c>
      <c r="Q113" s="174">
        <f t="shared" si="5"/>
        <v>-2551.4500000000116</v>
      </c>
    </row>
    <row r="114" spans="1:18" s="121" customFormat="1" x14ac:dyDescent="0.25">
      <c r="A114" s="6" t="s">
        <v>111</v>
      </c>
      <c r="B114" s="3" t="s">
        <v>112</v>
      </c>
      <c r="C114" s="176">
        <f t="shared" ref="C114:O114" si="25">SUM(C113:C113)</f>
        <v>68661</v>
      </c>
      <c r="D114" s="176">
        <f t="shared" si="25"/>
        <v>5341.98</v>
      </c>
      <c r="E114" s="176">
        <f t="shared" si="25"/>
        <v>5145.21</v>
      </c>
      <c r="F114" s="176">
        <f t="shared" si="25"/>
        <v>6049.15</v>
      </c>
      <c r="G114" s="176">
        <f t="shared" si="25"/>
        <v>5301.14</v>
      </c>
      <c r="H114" s="176">
        <f t="shared" si="25"/>
        <v>5470.34</v>
      </c>
      <c r="I114" s="176">
        <f t="shared" si="25"/>
        <v>5819.87</v>
      </c>
      <c r="J114" s="176">
        <f t="shared" si="25"/>
        <v>5261.02</v>
      </c>
      <c r="K114" s="176">
        <f t="shared" si="25"/>
        <v>5609.07</v>
      </c>
      <c r="L114" s="176">
        <f t="shared" si="25"/>
        <v>5594.83</v>
      </c>
      <c r="M114" s="176">
        <f t="shared" si="25"/>
        <v>5400.53</v>
      </c>
      <c r="N114" s="176">
        <f t="shared" si="25"/>
        <v>5386.09</v>
      </c>
      <c r="O114" s="176">
        <f t="shared" si="25"/>
        <v>5730.32</v>
      </c>
      <c r="P114" s="176">
        <f>SUM(P113:P113)</f>
        <v>66109.549999999988</v>
      </c>
      <c r="Q114" s="176">
        <f t="shared" si="5"/>
        <v>-2551.4500000000116</v>
      </c>
    </row>
    <row r="115" spans="1:18" x14ac:dyDescent="0.25">
      <c r="A115" s="1"/>
      <c r="B115" s="5"/>
      <c r="C115" s="181"/>
      <c r="D115" s="181"/>
      <c r="E115" s="181"/>
      <c r="F115" s="181"/>
      <c r="G115" s="181"/>
      <c r="H115" s="181"/>
      <c r="I115" s="181"/>
      <c r="J115" s="181"/>
      <c r="K115" s="181"/>
      <c r="L115" s="181"/>
      <c r="M115" s="181"/>
      <c r="N115" s="181"/>
      <c r="O115" s="181"/>
      <c r="P115" s="181"/>
      <c r="Q115" s="181" t="str">
        <f t="shared" si="5"/>
        <v/>
      </c>
    </row>
    <row r="116" spans="1:18" ht="15.75" thickBot="1" x14ac:dyDescent="0.3">
      <c r="A116" s="1"/>
      <c r="B116" s="5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 t="str">
        <f t="shared" si="5"/>
        <v/>
      </c>
    </row>
    <row r="117" spans="1:18" s="121" customFormat="1" x14ac:dyDescent="0.25">
      <c r="A117" s="6" t="s">
        <v>113</v>
      </c>
      <c r="B117" s="3" t="s">
        <v>114</v>
      </c>
      <c r="C117" s="176">
        <f t="shared" ref="C117" si="26">SUM(C114,C110,C100,C79)</f>
        <v>229472</v>
      </c>
      <c r="D117" s="176">
        <f t="shared" ref="D117:O117" si="27">SUM(D114,D110,D100,D79)</f>
        <v>35885.165333333338</v>
      </c>
      <c r="E117" s="176">
        <f t="shared" si="27"/>
        <v>7572.8853333333336</v>
      </c>
      <c r="F117" s="176">
        <f t="shared" si="27"/>
        <v>8798.9253333333327</v>
      </c>
      <c r="G117" s="176">
        <f t="shared" si="27"/>
        <v>29793.515333333336</v>
      </c>
      <c r="H117" s="176">
        <f t="shared" si="27"/>
        <v>10516.715333333334</v>
      </c>
      <c r="I117" s="176">
        <f t="shared" si="27"/>
        <v>15560.532833333335</v>
      </c>
      <c r="J117" s="176">
        <f t="shared" si="27"/>
        <v>32374.195333333337</v>
      </c>
      <c r="K117" s="176">
        <f t="shared" si="27"/>
        <v>10524.720333333333</v>
      </c>
      <c r="L117" s="176">
        <f t="shared" si="27"/>
        <v>12472.505333333334</v>
      </c>
      <c r="M117" s="176">
        <f t="shared" si="27"/>
        <v>31400.505333333334</v>
      </c>
      <c r="N117" s="176">
        <f t="shared" si="27"/>
        <v>10247.140333333333</v>
      </c>
      <c r="O117" s="176">
        <f t="shared" si="27"/>
        <v>8157.9953333333333</v>
      </c>
      <c r="P117" s="176">
        <f>SUM(P114,P110,P100,P79)</f>
        <v>205161.12400000001</v>
      </c>
      <c r="Q117" s="176">
        <f t="shared" si="5"/>
        <v>-24310.875999999989</v>
      </c>
    </row>
    <row r="118" spans="1:18" x14ac:dyDescent="0.25">
      <c r="A118" s="1"/>
      <c r="B118" s="5"/>
      <c r="C118" s="179"/>
      <c r="D118" s="179"/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 t="str">
        <f t="shared" si="5"/>
        <v/>
      </c>
    </row>
    <row r="119" spans="1:18" ht="15.75" thickBot="1" x14ac:dyDescent="0.3">
      <c r="A119" s="1"/>
      <c r="B119" s="5"/>
      <c r="C119" s="179"/>
      <c r="D119" s="179"/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 t="str">
        <f t="shared" si="5"/>
        <v/>
      </c>
    </row>
    <row r="120" spans="1:18" s="121" customFormat="1" x14ac:dyDescent="0.25">
      <c r="A120" s="6" t="s">
        <v>115</v>
      </c>
      <c r="B120" s="3" t="s">
        <v>116</v>
      </c>
      <c r="C120" s="176">
        <f t="shared" ref="C120:P120" si="28">-C117+C58</f>
        <v>619883.68999999994</v>
      </c>
      <c r="D120" s="176">
        <f t="shared" si="28"/>
        <v>-9757.0253333333385</v>
      </c>
      <c r="E120" s="176">
        <f t="shared" si="28"/>
        <v>18555.254666666668</v>
      </c>
      <c r="F120" s="176">
        <f t="shared" si="28"/>
        <v>17329.214666666667</v>
      </c>
      <c r="G120" s="176">
        <f t="shared" si="28"/>
        <v>-3665.375333333337</v>
      </c>
      <c r="H120" s="176">
        <f t="shared" si="28"/>
        <v>15814.594666666668</v>
      </c>
      <c r="I120" s="176">
        <f t="shared" si="28"/>
        <v>10854.777166666667</v>
      </c>
      <c r="J120" s="176">
        <f t="shared" si="28"/>
        <v>-5958.8853333333354</v>
      </c>
      <c r="K120" s="176">
        <f t="shared" si="28"/>
        <v>15890.589666666669</v>
      </c>
      <c r="L120" s="176">
        <f t="shared" si="28"/>
        <v>13942.804666666667</v>
      </c>
      <c r="M120" s="176">
        <f t="shared" si="28"/>
        <v>-4985.1953333333331</v>
      </c>
      <c r="N120" s="176">
        <f t="shared" si="28"/>
        <v>16254.689666666669</v>
      </c>
      <c r="O120" s="176">
        <f t="shared" si="28"/>
        <v>18343.834666666669</v>
      </c>
      <c r="P120" s="176">
        <f t="shared" si="28"/>
        <v>110768.95599999995</v>
      </c>
      <c r="Q120" s="176">
        <f t="shared" si="5"/>
        <v>-509114.734</v>
      </c>
    </row>
    <row r="121" spans="1:18" x14ac:dyDescent="0.25">
      <c r="A121" s="1"/>
      <c r="B121" s="5"/>
      <c r="C121" s="179"/>
      <c r="D121" s="179"/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 t="str">
        <f t="shared" si="5"/>
        <v/>
      </c>
    </row>
    <row r="122" spans="1:18" x14ac:dyDescent="0.25">
      <c r="A122" s="1"/>
      <c r="B122" s="5" t="s">
        <v>117</v>
      </c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4"/>
      <c r="Q122" s="174" t="str">
        <f t="shared" si="5"/>
        <v/>
      </c>
    </row>
    <row r="123" spans="1:18" ht="15.75" thickBot="1" x14ac:dyDescent="0.3">
      <c r="A123" s="1" t="s">
        <v>118</v>
      </c>
      <c r="B123" s="5" t="s">
        <v>119</v>
      </c>
      <c r="C123" s="175">
        <v>-76800</v>
      </c>
      <c r="D123" s="175">
        <f>-6142.82+D86</f>
        <v>13289.190000000002</v>
      </c>
      <c r="E123" s="175">
        <f t="shared" ref="E123:O123" si="29">-6142.82+E86</f>
        <v>-6142.82</v>
      </c>
      <c r="F123" s="175">
        <f t="shared" si="29"/>
        <v>-6142.82</v>
      </c>
      <c r="G123" s="175">
        <f t="shared" si="29"/>
        <v>13289.18</v>
      </c>
      <c r="H123" s="175">
        <f t="shared" si="29"/>
        <v>-6142.82</v>
      </c>
      <c r="I123" s="175">
        <f t="shared" si="29"/>
        <v>-6142.82</v>
      </c>
      <c r="J123" s="175">
        <f t="shared" si="29"/>
        <v>14260.780000000002</v>
      </c>
      <c r="K123" s="175">
        <f t="shared" si="29"/>
        <v>-6142.82</v>
      </c>
      <c r="L123" s="175">
        <f t="shared" si="29"/>
        <v>-6142.82</v>
      </c>
      <c r="M123" s="175">
        <f t="shared" si="29"/>
        <v>14260.780000000002</v>
      </c>
      <c r="N123" s="175">
        <f t="shared" si="29"/>
        <v>-6142.82</v>
      </c>
      <c r="O123" s="175">
        <f t="shared" si="29"/>
        <v>-6142.82</v>
      </c>
      <c r="P123" s="174">
        <f>SUM(D123:O123)</f>
        <v>5957.3700000000099</v>
      </c>
      <c r="Q123" s="174">
        <f t="shared" si="5"/>
        <v>82757.37000000001</v>
      </c>
    </row>
    <row r="124" spans="1:18" s="121" customFormat="1" x14ac:dyDescent="0.25">
      <c r="A124" s="6" t="s">
        <v>120</v>
      </c>
      <c r="B124" s="3" t="s">
        <v>121</v>
      </c>
      <c r="C124" s="176">
        <f t="shared" ref="C124:O124" si="30">SUM(C123:C123)</f>
        <v>-76800</v>
      </c>
      <c r="D124" s="176">
        <f t="shared" si="30"/>
        <v>13289.190000000002</v>
      </c>
      <c r="E124" s="176">
        <f t="shared" si="30"/>
        <v>-6142.82</v>
      </c>
      <c r="F124" s="176">
        <f t="shared" si="30"/>
        <v>-6142.82</v>
      </c>
      <c r="G124" s="176">
        <f t="shared" si="30"/>
        <v>13289.18</v>
      </c>
      <c r="H124" s="176">
        <f t="shared" si="30"/>
        <v>-6142.82</v>
      </c>
      <c r="I124" s="176">
        <f t="shared" si="30"/>
        <v>-6142.82</v>
      </c>
      <c r="J124" s="176">
        <f t="shared" si="30"/>
        <v>14260.780000000002</v>
      </c>
      <c r="K124" s="176">
        <f t="shared" si="30"/>
        <v>-6142.82</v>
      </c>
      <c r="L124" s="176">
        <f t="shared" si="30"/>
        <v>-6142.82</v>
      </c>
      <c r="M124" s="176">
        <f t="shared" si="30"/>
        <v>14260.780000000002</v>
      </c>
      <c r="N124" s="176">
        <f t="shared" si="30"/>
        <v>-6142.82</v>
      </c>
      <c r="O124" s="176">
        <f t="shared" si="30"/>
        <v>-6142.82</v>
      </c>
      <c r="P124" s="176">
        <f>SUM(P123:P123)</f>
        <v>5957.3700000000099</v>
      </c>
      <c r="Q124" s="176">
        <f t="shared" si="5"/>
        <v>82757.37000000001</v>
      </c>
    </row>
    <row r="125" spans="1:18" s="121" customFormat="1" x14ac:dyDescent="0.25">
      <c r="A125" s="6"/>
      <c r="B125" s="3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 t="str">
        <f t="shared" ref="Q125:Q160" si="31">IF(C125&lt;&gt;"",P125-C125,"")</f>
        <v/>
      </c>
    </row>
    <row r="126" spans="1:18" s="121" customFormat="1" x14ac:dyDescent="0.25">
      <c r="A126" s="219" t="s">
        <v>122</v>
      </c>
      <c r="B126" s="220" t="s">
        <v>472</v>
      </c>
      <c r="C126" s="235" t="s">
        <v>515</v>
      </c>
      <c r="D126" s="235"/>
      <c r="E126" s="235"/>
      <c r="F126" s="235"/>
      <c r="G126" s="235"/>
      <c r="H126" s="235"/>
      <c r="I126" s="235"/>
      <c r="J126" s="235"/>
      <c r="K126" s="235"/>
      <c r="L126" s="235"/>
      <c r="M126" s="235"/>
      <c r="N126" s="235"/>
      <c r="O126" s="235"/>
      <c r="P126" s="235"/>
      <c r="Q126" s="235"/>
      <c r="R126" s="222"/>
    </row>
    <row r="127" spans="1:18" s="121" customFormat="1" x14ac:dyDescent="0.25">
      <c r="A127" s="219" t="s">
        <v>126</v>
      </c>
      <c r="B127" s="220" t="s">
        <v>127</v>
      </c>
      <c r="C127" s="223">
        <v>0</v>
      </c>
      <c r="D127" s="223">
        <v>0</v>
      </c>
      <c r="E127" s="224">
        <f>-(E158-D158)</f>
        <v>0</v>
      </c>
      <c r="F127" s="223">
        <v>0</v>
      </c>
      <c r="G127" s="223">
        <v>0</v>
      </c>
      <c r="H127" s="223">
        <v>0</v>
      </c>
      <c r="I127" s="223">
        <v>0</v>
      </c>
      <c r="J127" s="223">
        <v>0</v>
      </c>
      <c r="K127" s="223">
        <v>0</v>
      </c>
      <c r="L127" s="223">
        <v>0</v>
      </c>
      <c r="M127" s="223">
        <v>0</v>
      </c>
      <c r="N127" s="223">
        <v>0</v>
      </c>
      <c r="O127" s="223">
        <v>0</v>
      </c>
      <c r="P127" s="221">
        <f>SUM(D127:O127)</f>
        <v>0</v>
      </c>
      <c r="Q127" s="221">
        <f t="shared" si="31"/>
        <v>0</v>
      </c>
      <c r="R127" s="225" t="s">
        <v>510</v>
      </c>
    </row>
    <row r="128" spans="1:18" s="121" customFormat="1" x14ac:dyDescent="0.25">
      <c r="A128" s="219" t="s">
        <v>279</v>
      </c>
      <c r="B128" s="220" t="s">
        <v>388</v>
      </c>
      <c r="C128" s="223">
        <v>0</v>
      </c>
      <c r="D128" s="223">
        <v>0</v>
      </c>
      <c r="E128" s="223">
        <v>0</v>
      </c>
      <c r="F128" s="223">
        <v>0</v>
      </c>
      <c r="G128" s="223">
        <v>0</v>
      </c>
      <c r="H128" s="223">
        <v>0</v>
      </c>
      <c r="I128" s="223">
        <v>0</v>
      </c>
      <c r="J128" s="223">
        <v>0</v>
      </c>
      <c r="K128" s="223">
        <v>0</v>
      </c>
      <c r="L128" s="223">
        <v>0</v>
      </c>
      <c r="M128" s="223">
        <v>0</v>
      </c>
      <c r="N128" s="223">
        <v>0</v>
      </c>
      <c r="O128" s="223">
        <v>0</v>
      </c>
      <c r="P128" s="221">
        <f>SUM(D128:O128)</f>
        <v>0</v>
      </c>
      <c r="Q128" s="221">
        <f t="shared" si="31"/>
        <v>0</v>
      </c>
      <c r="R128" s="222"/>
    </row>
    <row r="129" spans="1:30" s="121" customFormat="1" ht="15.75" thickBot="1" x14ac:dyDescent="0.3">
      <c r="A129" s="219" t="s">
        <v>134</v>
      </c>
      <c r="B129" s="220" t="s">
        <v>135</v>
      </c>
      <c r="C129" s="221"/>
      <c r="D129" s="221"/>
      <c r="E129" s="221"/>
      <c r="F129" s="221"/>
      <c r="G129" s="221"/>
      <c r="H129" s="221"/>
      <c r="I129" s="221"/>
      <c r="J129" s="221"/>
      <c r="K129" s="221"/>
      <c r="L129" s="221"/>
      <c r="M129" s="221"/>
      <c r="N129" s="221"/>
      <c r="O129" s="221"/>
      <c r="P129" s="221">
        <f>_xlfn.IFNA(VLOOKUP(A129,'Op Budget 2016'!$C$15:$Q$53,15,FALSE),)</f>
        <v>0</v>
      </c>
      <c r="Q129" s="221" t="str">
        <f t="shared" si="31"/>
        <v/>
      </c>
      <c r="R129" s="222"/>
    </row>
    <row r="130" spans="1:30" x14ac:dyDescent="0.25">
      <c r="A130" s="226" t="s">
        <v>136</v>
      </c>
      <c r="B130" s="227" t="s">
        <v>137</v>
      </c>
      <c r="C130" s="228">
        <f t="shared" ref="C130" si="32">SUM(C127:C129)</f>
        <v>0</v>
      </c>
      <c r="D130" s="228">
        <f t="shared" ref="D130:O130" si="33">SUM(D127:D129)</f>
        <v>0</v>
      </c>
      <c r="E130" s="228">
        <f>SUM(E127:E129)</f>
        <v>0</v>
      </c>
      <c r="F130" s="228">
        <f t="shared" si="33"/>
        <v>0</v>
      </c>
      <c r="G130" s="228">
        <f t="shared" si="33"/>
        <v>0</v>
      </c>
      <c r="H130" s="228">
        <f t="shared" si="33"/>
        <v>0</v>
      </c>
      <c r="I130" s="228">
        <f t="shared" si="33"/>
        <v>0</v>
      </c>
      <c r="J130" s="228">
        <f t="shared" si="33"/>
        <v>0</v>
      </c>
      <c r="K130" s="228">
        <f t="shared" si="33"/>
        <v>0</v>
      </c>
      <c r="L130" s="228">
        <f t="shared" si="33"/>
        <v>0</v>
      </c>
      <c r="M130" s="228">
        <f t="shared" si="33"/>
        <v>0</v>
      </c>
      <c r="N130" s="228">
        <f t="shared" si="33"/>
        <v>0</v>
      </c>
      <c r="O130" s="228">
        <f t="shared" si="33"/>
        <v>0</v>
      </c>
      <c r="P130" s="228">
        <f>SUM(P127:P129)</f>
        <v>0</v>
      </c>
      <c r="Q130" s="228">
        <f t="shared" si="31"/>
        <v>0</v>
      </c>
      <c r="R130" s="225"/>
    </row>
    <row r="131" spans="1:30" x14ac:dyDescent="0.25">
      <c r="A131" s="122"/>
      <c r="B131" s="3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 t="str">
        <f t="shared" si="31"/>
        <v/>
      </c>
    </row>
    <row r="132" spans="1:30" x14ac:dyDescent="0.25">
      <c r="A132" s="122"/>
      <c r="B132" s="3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 t="str">
        <f t="shared" si="31"/>
        <v/>
      </c>
    </row>
    <row r="133" spans="1:30" x14ac:dyDescent="0.25">
      <c r="A133" s="1" t="s">
        <v>130</v>
      </c>
      <c r="B133" s="5" t="s">
        <v>131</v>
      </c>
      <c r="C133" s="174"/>
      <c r="D133" s="174"/>
      <c r="E133" s="174"/>
      <c r="F133" s="174"/>
      <c r="G133" s="174"/>
      <c r="H133" s="174"/>
      <c r="I133" s="174"/>
      <c r="J133" s="174"/>
      <c r="K133" s="174"/>
      <c r="L133" s="174"/>
      <c r="M133" s="174"/>
      <c r="N133" s="174"/>
      <c r="O133" s="174"/>
      <c r="P133" s="174"/>
      <c r="Q133" s="174" t="str">
        <f t="shared" si="31"/>
        <v/>
      </c>
    </row>
    <row r="134" spans="1:30" x14ac:dyDescent="0.25">
      <c r="A134" s="1" t="s">
        <v>132</v>
      </c>
      <c r="B134" s="5" t="s">
        <v>133</v>
      </c>
      <c r="C134" s="175">
        <v>0</v>
      </c>
      <c r="D134" s="175">
        <v>0</v>
      </c>
      <c r="E134" s="175">
        <v>0</v>
      </c>
      <c r="F134" s="175">
        <v>0</v>
      </c>
      <c r="G134" s="175">
        <v>0</v>
      </c>
      <c r="H134" s="175">
        <f>$P$134/2</f>
        <v>0</v>
      </c>
      <c r="I134" s="175">
        <f>$P$134/2</f>
        <v>0</v>
      </c>
      <c r="J134" s="175">
        <v>0</v>
      </c>
      <c r="K134" s="175">
        <v>0</v>
      </c>
      <c r="L134" s="175">
        <v>0</v>
      </c>
      <c r="M134" s="175">
        <v>0</v>
      </c>
      <c r="N134" s="175">
        <v>0</v>
      </c>
      <c r="O134" s="175">
        <v>0</v>
      </c>
      <c r="P134" s="174">
        <v>0</v>
      </c>
      <c r="Q134" s="174">
        <f t="shared" si="31"/>
        <v>0</v>
      </c>
    </row>
    <row r="135" spans="1:30" x14ac:dyDescent="0.25">
      <c r="A135" s="1" t="s">
        <v>279</v>
      </c>
      <c r="B135" s="5" t="s">
        <v>388</v>
      </c>
      <c r="C135" s="175">
        <v>0</v>
      </c>
      <c r="D135" s="175">
        <v>0</v>
      </c>
      <c r="E135" s="175">
        <v>0</v>
      </c>
      <c r="F135" s="175">
        <v>0</v>
      </c>
      <c r="G135" s="175">
        <v>0</v>
      </c>
      <c r="H135" s="175">
        <v>0</v>
      </c>
      <c r="I135" s="175">
        <v>0</v>
      </c>
      <c r="J135" s="175">
        <v>0</v>
      </c>
      <c r="K135" s="175">
        <v>0</v>
      </c>
      <c r="L135" s="175">
        <v>0</v>
      </c>
      <c r="M135" s="175">
        <v>0</v>
      </c>
      <c r="N135" s="175">
        <v>0</v>
      </c>
      <c r="O135" s="175">
        <v>0</v>
      </c>
      <c r="P135" s="174">
        <f>SUM(D135:O135)</f>
        <v>0</v>
      </c>
      <c r="Q135" s="174">
        <f t="shared" si="31"/>
        <v>0</v>
      </c>
    </row>
    <row r="136" spans="1:30" ht="15.75" thickBot="1" x14ac:dyDescent="0.3">
      <c r="A136" s="1" t="s">
        <v>134</v>
      </c>
      <c r="B136" s="5" t="s">
        <v>135</v>
      </c>
      <c r="C136" s="174"/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>
        <f>_xlfn.IFNA(VLOOKUP(A136,'Op Budget 2016'!$C$15:$Q$53,15,FALSE),)</f>
        <v>0</v>
      </c>
      <c r="Q136" s="174" t="str">
        <f t="shared" si="31"/>
        <v/>
      </c>
    </row>
    <row r="137" spans="1:30" s="121" customFormat="1" x14ac:dyDescent="0.25">
      <c r="A137" s="6" t="s">
        <v>136</v>
      </c>
      <c r="B137" s="3" t="s">
        <v>137</v>
      </c>
      <c r="C137" s="176">
        <f t="shared" ref="C137" si="34">SUM(C134:C136)</f>
        <v>0</v>
      </c>
      <c r="D137" s="176">
        <f t="shared" ref="D137:O137" si="35">SUM(D134:D136)</f>
        <v>0</v>
      </c>
      <c r="E137" s="176">
        <f t="shared" si="35"/>
        <v>0</v>
      </c>
      <c r="F137" s="176">
        <f t="shared" si="35"/>
        <v>0</v>
      </c>
      <c r="G137" s="176">
        <f t="shared" si="35"/>
        <v>0</v>
      </c>
      <c r="H137" s="176">
        <f t="shared" si="35"/>
        <v>0</v>
      </c>
      <c r="I137" s="176">
        <f t="shared" si="35"/>
        <v>0</v>
      </c>
      <c r="J137" s="176">
        <f t="shared" si="35"/>
        <v>0</v>
      </c>
      <c r="K137" s="176">
        <f t="shared" si="35"/>
        <v>0</v>
      </c>
      <c r="L137" s="176">
        <f t="shared" si="35"/>
        <v>0</v>
      </c>
      <c r="M137" s="176">
        <f t="shared" si="35"/>
        <v>0</v>
      </c>
      <c r="N137" s="176">
        <f t="shared" si="35"/>
        <v>0</v>
      </c>
      <c r="O137" s="176">
        <f t="shared" si="35"/>
        <v>0</v>
      </c>
      <c r="P137" s="176">
        <f>SUM(P134:P136)</f>
        <v>0</v>
      </c>
      <c r="Q137" s="176">
        <f t="shared" si="31"/>
        <v>0</v>
      </c>
    </row>
    <row r="138" spans="1:30" ht="15.75" thickBot="1" x14ac:dyDescent="0.3">
      <c r="A138" s="1"/>
      <c r="B138" s="5"/>
      <c r="C138" s="179"/>
      <c r="D138" s="179"/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 t="str">
        <f t="shared" si="31"/>
        <v/>
      </c>
    </row>
    <row r="139" spans="1:30" s="121" customFormat="1" x14ac:dyDescent="0.25">
      <c r="A139" s="6" t="s">
        <v>138</v>
      </c>
      <c r="B139" s="3" t="s">
        <v>139</v>
      </c>
      <c r="C139" s="176">
        <f>SUM(C137,C130,C124)</f>
        <v>-76800</v>
      </c>
      <c r="D139" s="176">
        <f t="shared" ref="D139:O139" si="36">SUM(D137,D124)</f>
        <v>13289.190000000002</v>
      </c>
      <c r="E139" s="176">
        <f t="shared" si="36"/>
        <v>-6142.82</v>
      </c>
      <c r="F139" s="176">
        <f t="shared" si="36"/>
        <v>-6142.82</v>
      </c>
      <c r="G139" s="176">
        <f t="shared" si="36"/>
        <v>13289.18</v>
      </c>
      <c r="H139" s="176">
        <f t="shared" si="36"/>
        <v>-6142.82</v>
      </c>
      <c r="I139" s="176">
        <f t="shared" si="36"/>
        <v>-6142.82</v>
      </c>
      <c r="J139" s="176">
        <f t="shared" si="36"/>
        <v>14260.780000000002</v>
      </c>
      <c r="K139" s="176">
        <f t="shared" si="36"/>
        <v>-6142.82</v>
      </c>
      <c r="L139" s="176">
        <f t="shared" si="36"/>
        <v>-6142.82</v>
      </c>
      <c r="M139" s="176">
        <f t="shared" si="36"/>
        <v>14260.780000000002</v>
      </c>
      <c r="N139" s="176">
        <f t="shared" si="36"/>
        <v>-6142.82</v>
      </c>
      <c r="O139" s="176">
        <f t="shared" si="36"/>
        <v>-6142.82</v>
      </c>
      <c r="P139" s="176">
        <f>SUM(P137,P130,P124)</f>
        <v>5957.3700000000099</v>
      </c>
      <c r="Q139" s="176">
        <f t="shared" si="31"/>
        <v>82757.37000000001</v>
      </c>
    </row>
    <row r="140" spans="1:30" x14ac:dyDescent="0.25">
      <c r="A140" s="1"/>
      <c r="B140" s="5"/>
      <c r="C140" s="179"/>
      <c r="D140" s="179"/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 t="str">
        <f t="shared" si="31"/>
        <v/>
      </c>
    </row>
    <row r="141" spans="1:30" x14ac:dyDescent="0.25">
      <c r="A141" s="1" t="s">
        <v>140</v>
      </c>
      <c r="B141" s="5" t="s">
        <v>141</v>
      </c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4"/>
      <c r="N141" s="174"/>
      <c r="O141" s="174"/>
      <c r="P141" s="174"/>
      <c r="Q141" s="174" t="str">
        <f t="shared" si="31"/>
        <v/>
      </c>
      <c r="R141" s="186"/>
      <c r="S141" s="186"/>
      <c r="T141" s="186"/>
      <c r="U141" s="186"/>
      <c r="V141" s="186"/>
      <c r="W141" s="186"/>
      <c r="X141" s="186"/>
      <c r="Y141" s="186"/>
      <c r="Z141" s="186"/>
      <c r="AA141" s="186"/>
    </row>
    <row r="142" spans="1:30" x14ac:dyDescent="0.25">
      <c r="A142" s="1" t="s">
        <v>273</v>
      </c>
      <c r="B142" s="5" t="s">
        <v>387</v>
      </c>
      <c r="C142" s="174">
        <v>-53101</v>
      </c>
      <c r="D142" s="174">
        <v>-4436.4399999999996</v>
      </c>
      <c r="E142" s="174">
        <v>-4450.96</v>
      </c>
      <c r="F142" s="174">
        <v>-5039.62</v>
      </c>
      <c r="G142" s="174">
        <v>-4482.0200000000004</v>
      </c>
      <c r="H142" s="174">
        <v>-4687.05</v>
      </c>
      <c r="I142" s="174">
        <v>-4512.0200000000004</v>
      </c>
      <c r="J142" s="174">
        <v>-4716.17</v>
      </c>
      <c r="K142" s="174">
        <v>-4542.21</v>
      </c>
      <c r="L142" s="174">
        <v>-4557.08</v>
      </c>
      <c r="M142" s="174">
        <v>-4759.91</v>
      </c>
      <c r="N142" s="174">
        <v>-4587.57</v>
      </c>
      <c r="O142" s="174">
        <v>-4789.53</v>
      </c>
      <c r="P142" s="174">
        <f>SUM(D142:O142)</f>
        <v>-55560.579999999994</v>
      </c>
      <c r="Q142" s="174">
        <f t="shared" si="31"/>
        <v>-2459.5799999999945</v>
      </c>
      <c r="R142" s="159"/>
      <c r="S142" s="159"/>
      <c r="T142" s="159"/>
      <c r="U142" s="159"/>
      <c r="V142" s="159"/>
      <c r="W142" s="159"/>
      <c r="X142" s="159"/>
      <c r="Y142" s="159"/>
      <c r="Z142" s="159"/>
      <c r="AA142" s="159"/>
      <c r="AB142" s="159"/>
      <c r="AC142" s="159"/>
      <c r="AD142" s="159"/>
    </row>
    <row r="143" spans="1:30" ht="15.75" thickBot="1" x14ac:dyDescent="0.3">
      <c r="A143" s="1" t="s">
        <v>144</v>
      </c>
      <c r="B143" s="5" t="s">
        <v>145</v>
      </c>
      <c r="C143" s="175"/>
      <c r="D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4">
        <f t="shared" ref="P143" si="37">SUM(D143:O143)</f>
        <v>0</v>
      </c>
      <c r="Q143" s="174" t="str">
        <f t="shared" si="31"/>
        <v/>
      </c>
      <c r="R143" s="5"/>
    </row>
    <row r="144" spans="1:30" s="121" customFormat="1" x14ac:dyDescent="0.25">
      <c r="A144" s="6" t="s">
        <v>146</v>
      </c>
      <c r="B144" s="3" t="s">
        <v>147</v>
      </c>
      <c r="C144" s="176">
        <f t="shared" ref="C144:P144" si="38">SUM(C142:C143)</f>
        <v>-53101</v>
      </c>
      <c r="D144" s="176">
        <f t="shared" si="38"/>
        <v>-4436.4399999999996</v>
      </c>
      <c r="E144" s="176">
        <f t="shared" si="38"/>
        <v>-4450.96</v>
      </c>
      <c r="F144" s="176">
        <f t="shared" si="38"/>
        <v>-5039.62</v>
      </c>
      <c r="G144" s="176">
        <f t="shared" si="38"/>
        <v>-4482.0200000000004</v>
      </c>
      <c r="H144" s="176">
        <f t="shared" si="38"/>
        <v>-4687.05</v>
      </c>
      <c r="I144" s="176">
        <f t="shared" si="38"/>
        <v>-4512.0200000000004</v>
      </c>
      <c r="J144" s="176">
        <f t="shared" si="38"/>
        <v>-4716.17</v>
      </c>
      <c r="K144" s="176">
        <f t="shared" si="38"/>
        <v>-4542.21</v>
      </c>
      <c r="L144" s="176">
        <f t="shared" si="38"/>
        <v>-4557.08</v>
      </c>
      <c r="M144" s="176">
        <f t="shared" si="38"/>
        <v>-4759.91</v>
      </c>
      <c r="N144" s="176">
        <f t="shared" si="38"/>
        <v>-4587.57</v>
      </c>
      <c r="O144" s="176">
        <f t="shared" si="38"/>
        <v>-4789.53</v>
      </c>
      <c r="P144" s="176">
        <f t="shared" si="38"/>
        <v>-55560.579999999994</v>
      </c>
      <c r="Q144" s="176">
        <f t="shared" si="31"/>
        <v>-2459.5799999999945</v>
      </c>
    </row>
    <row r="145" spans="1:27" x14ac:dyDescent="0.25">
      <c r="A145" s="1"/>
      <c r="B145" s="5"/>
      <c r="C145" s="181"/>
      <c r="D145" s="181"/>
      <c r="E145" s="181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  <c r="P145" s="174"/>
      <c r="Q145" s="174" t="str">
        <f t="shared" si="31"/>
        <v/>
      </c>
    </row>
    <row r="146" spans="1:27" ht="15.75" thickBot="1" x14ac:dyDescent="0.3">
      <c r="A146" s="1" t="s">
        <v>148</v>
      </c>
      <c r="B146" s="5" t="s">
        <v>149</v>
      </c>
      <c r="C146" s="174"/>
      <c r="D146" s="174"/>
      <c r="E146" s="174"/>
      <c r="F146" s="174"/>
      <c r="G146" s="174"/>
      <c r="H146" s="174"/>
      <c r="I146" s="174"/>
      <c r="J146" s="174"/>
      <c r="K146" s="174"/>
      <c r="L146" s="174"/>
      <c r="M146" s="174"/>
      <c r="N146" s="174"/>
      <c r="O146" s="174"/>
      <c r="P146" s="174"/>
      <c r="Q146" s="174" t="str">
        <f t="shared" si="31"/>
        <v/>
      </c>
    </row>
    <row r="147" spans="1:27" hidden="1" outlineLevel="1" x14ac:dyDescent="0.25">
      <c r="A147" s="7" t="s">
        <v>150</v>
      </c>
      <c r="B147" s="5" t="s">
        <v>469</v>
      </c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 t="str">
        <f t="shared" si="31"/>
        <v/>
      </c>
    </row>
    <row r="148" spans="1:27" hidden="1" outlineLevel="1" x14ac:dyDescent="0.25">
      <c r="A148" s="7" t="s">
        <v>151</v>
      </c>
      <c r="B148" s="5" t="s">
        <v>470</v>
      </c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 t="str">
        <f t="shared" si="31"/>
        <v/>
      </c>
    </row>
    <row r="149" spans="1:27" hidden="1" outlineLevel="1" x14ac:dyDescent="0.25">
      <c r="A149" s="7" t="s">
        <v>152</v>
      </c>
      <c r="B149" s="5" t="s">
        <v>471</v>
      </c>
      <c r="C149" s="174"/>
      <c r="D149" s="174"/>
      <c r="E149" s="174"/>
      <c r="F149" s="174"/>
      <c r="G149" s="174"/>
      <c r="H149" s="174"/>
      <c r="I149" s="174"/>
      <c r="J149" s="174"/>
      <c r="K149" s="174"/>
      <c r="L149" s="174"/>
      <c r="M149" s="174"/>
      <c r="N149" s="174"/>
      <c r="O149" s="174"/>
      <c r="P149" s="174"/>
      <c r="Q149" s="174" t="str">
        <f t="shared" si="31"/>
        <v/>
      </c>
    </row>
    <row r="150" spans="1:27" ht="15.75" hidden="1" outlineLevel="1" thickBot="1" x14ac:dyDescent="0.3">
      <c r="A150" s="7" t="s">
        <v>538</v>
      </c>
      <c r="B150" s="5" t="s">
        <v>539</v>
      </c>
      <c r="C150" s="174"/>
      <c r="D150" s="174"/>
      <c r="E150" s="174"/>
      <c r="F150" s="174"/>
      <c r="G150" s="174"/>
      <c r="H150" s="174"/>
      <c r="I150" s="174"/>
      <c r="J150" s="174"/>
      <c r="K150" s="174"/>
      <c r="L150" s="174"/>
      <c r="M150" s="174"/>
      <c r="N150" s="174"/>
      <c r="O150" s="174"/>
      <c r="P150" s="174"/>
      <c r="Q150" s="174" t="str">
        <f t="shared" si="31"/>
        <v/>
      </c>
    </row>
    <row r="151" spans="1:27" s="121" customFormat="1" collapsed="1" x14ac:dyDescent="0.25">
      <c r="A151" s="6" t="s">
        <v>153</v>
      </c>
      <c r="B151" s="3" t="s">
        <v>154</v>
      </c>
      <c r="C151" s="176">
        <f>SUM(C147:C150)</f>
        <v>0</v>
      </c>
      <c r="D151" s="176">
        <f>SUM(D147:D150)</f>
        <v>0</v>
      </c>
      <c r="E151" s="176">
        <f>SUM(E147:E150)</f>
        <v>0</v>
      </c>
      <c r="F151" s="176">
        <f>SUM(F147:F150)</f>
        <v>0</v>
      </c>
      <c r="G151" s="176">
        <f>SUM(G147:G150)</f>
        <v>0</v>
      </c>
      <c r="H151" s="176">
        <f>SUM(H147:H150)</f>
        <v>0</v>
      </c>
      <c r="I151" s="176">
        <f>SUM(I147:I150)</f>
        <v>0</v>
      </c>
      <c r="J151" s="176">
        <f>SUM(J147:J150)</f>
        <v>0</v>
      </c>
      <c r="K151" s="176">
        <f>SUM(K147:K150)</f>
        <v>0</v>
      </c>
      <c r="L151" s="176">
        <f>SUM(L147:L150)</f>
        <v>0</v>
      </c>
      <c r="M151" s="176">
        <f>SUM(M147:M150)</f>
        <v>0</v>
      </c>
      <c r="N151" s="176">
        <f>SUM(N147:N150)</f>
        <v>0</v>
      </c>
      <c r="O151" s="176">
        <f>SUM(O147:O150)</f>
        <v>0</v>
      </c>
      <c r="P151" s="176">
        <f>SUM(P147:P150)</f>
        <v>0</v>
      </c>
      <c r="Q151" s="176">
        <f t="shared" si="31"/>
        <v>0</v>
      </c>
    </row>
    <row r="152" spans="1:27" x14ac:dyDescent="0.25">
      <c r="A152" s="1"/>
      <c r="B152" s="5"/>
      <c r="C152" s="181"/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 t="str">
        <f t="shared" si="31"/>
        <v/>
      </c>
    </row>
    <row r="153" spans="1:27" x14ac:dyDescent="0.25">
      <c r="A153" s="1" t="s">
        <v>155</v>
      </c>
      <c r="B153" s="5" t="s">
        <v>156</v>
      </c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4"/>
      <c r="N153" s="174"/>
      <c r="O153" s="174"/>
      <c r="P153" s="174"/>
      <c r="Q153" s="174" t="str">
        <f t="shared" si="31"/>
        <v/>
      </c>
    </row>
    <row r="154" spans="1:27" outlineLevel="1" x14ac:dyDescent="0.25">
      <c r="A154" s="7" t="s">
        <v>157</v>
      </c>
      <c r="B154" s="5" t="s">
        <v>466</v>
      </c>
      <c r="C154" s="174">
        <v>-576</v>
      </c>
      <c r="D154" s="174">
        <f>VLOOKUP($A$154,Distributions!$A$4:$F$7,6,FALSE)</f>
        <v>-64.933333333333337</v>
      </c>
      <c r="E154" s="174">
        <f>VLOOKUP($A$154,Distributions!$A$4:$F$7,6,FALSE)</f>
        <v>-64.933333333333337</v>
      </c>
      <c r="F154" s="174">
        <f>VLOOKUP($A$154,Distributions!$A$4:$F$7,6,FALSE)</f>
        <v>-64.933333333333337</v>
      </c>
      <c r="G154" s="174">
        <f>VLOOKUP($A$154,Distributions!$A$4:$F$7,6,FALSE)</f>
        <v>-64.933333333333337</v>
      </c>
      <c r="H154" s="174">
        <f>VLOOKUP($A$154,Distributions!$A$4:$F$7,6,FALSE)</f>
        <v>-64.933333333333337</v>
      </c>
      <c r="I154" s="174">
        <f>VLOOKUP($A$154,Distributions!$A$4:$F$7,6,FALSE)</f>
        <v>-64.933333333333337</v>
      </c>
      <c r="J154" s="174">
        <f>VLOOKUP($A$154,Distributions!$A$4:$F$7,6,FALSE)</f>
        <v>-64.933333333333337</v>
      </c>
      <c r="K154" s="174">
        <f>VLOOKUP($A$154,Distributions!$A$4:$F$7,6,FALSE)</f>
        <v>-64.933333333333337</v>
      </c>
      <c r="L154" s="174">
        <f>VLOOKUP($A$154,Distributions!$A$4:$F$7,6,FALSE)</f>
        <v>-64.933333333333337</v>
      </c>
      <c r="M154" s="174">
        <f>VLOOKUP($A$154,Distributions!$A$4:$F$7,6,FALSE)</f>
        <v>-64.933333333333337</v>
      </c>
      <c r="N154" s="174">
        <f>VLOOKUP($A$154,Distributions!$A$4:$F$7,6,FALSE)</f>
        <v>-64.933333333333337</v>
      </c>
      <c r="O154" s="174">
        <f>VLOOKUP($A$154,Distributions!$A$4:$F$7,6,FALSE)</f>
        <v>-64.933333333333337</v>
      </c>
      <c r="P154" s="174">
        <f t="shared" ref="P154:P157" si="39">SUM(D154:O154)</f>
        <v>-779.20000000000027</v>
      </c>
      <c r="Q154" s="174">
        <f t="shared" si="31"/>
        <v>-203.20000000000027</v>
      </c>
      <c r="R154" s="186"/>
      <c r="S154" s="186"/>
      <c r="T154" s="186"/>
      <c r="U154" s="186"/>
      <c r="V154" s="186"/>
      <c r="W154" s="186"/>
      <c r="X154" s="186"/>
      <c r="Y154" s="186"/>
      <c r="Z154" s="186"/>
      <c r="AA154" s="186"/>
    </row>
    <row r="155" spans="1:27" outlineLevel="1" x14ac:dyDescent="0.25">
      <c r="A155" s="7" t="s">
        <v>158</v>
      </c>
      <c r="B155" s="5" t="s">
        <v>467</v>
      </c>
      <c r="C155" s="174">
        <v>-28200</v>
      </c>
      <c r="D155" s="174">
        <f>VLOOKUP($A$155,Distributions!$A$4:$F$7,6,FALSE)</f>
        <v>-1590.8666666666668</v>
      </c>
      <c r="E155" s="174">
        <f>VLOOKUP($A$155,Distributions!$A$4:$F$7,6,FALSE)</f>
        <v>-1590.8666666666668</v>
      </c>
      <c r="F155" s="174">
        <f>VLOOKUP($A$155,Distributions!$A$4:$F$7,6,FALSE)</f>
        <v>-1590.8666666666668</v>
      </c>
      <c r="G155" s="174">
        <f>VLOOKUP($A$155,Distributions!$A$4:$F$7,6,FALSE)</f>
        <v>-1590.8666666666668</v>
      </c>
      <c r="H155" s="174">
        <f>VLOOKUP($A$155,Distributions!$A$4:$F$7,6,FALSE)</f>
        <v>-1590.8666666666668</v>
      </c>
      <c r="I155" s="174">
        <f>VLOOKUP($A$155,Distributions!$A$4:$F$7,6,FALSE)</f>
        <v>-1590.8666666666668</v>
      </c>
      <c r="J155" s="174">
        <f>VLOOKUP($A$155,Distributions!$A$4:$F$7,6,FALSE)</f>
        <v>-1590.8666666666668</v>
      </c>
      <c r="K155" s="174">
        <f>VLOOKUP($A$155,Distributions!$A$4:$F$7,6,FALSE)</f>
        <v>-1590.8666666666668</v>
      </c>
      <c r="L155" s="174">
        <f>VLOOKUP($A$155,Distributions!$A$4:$F$7,6,FALSE)</f>
        <v>-1590.8666666666668</v>
      </c>
      <c r="M155" s="174">
        <f>VLOOKUP($A$155,Distributions!$A$4:$F$7,6,FALSE)</f>
        <v>-1590.8666666666668</v>
      </c>
      <c r="N155" s="174">
        <f>VLOOKUP($A$155,Distributions!$A$4:$F$7,6,FALSE)</f>
        <v>-1590.8666666666668</v>
      </c>
      <c r="O155" s="174">
        <f>VLOOKUP($A$155,Distributions!$A$4:$F$7,6,FALSE)</f>
        <v>-1590.8666666666668</v>
      </c>
      <c r="P155" s="174">
        <f t="shared" si="39"/>
        <v>-19090.400000000001</v>
      </c>
      <c r="Q155" s="174">
        <f t="shared" si="31"/>
        <v>9109.5999999999985</v>
      </c>
      <c r="R155" s="186"/>
      <c r="S155" s="186"/>
      <c r="T155" s="186"/>
      <c r="U155" s="186"/>
      <c r="V155" s="186"/>
      <c r="W155" s="186"/>
      <c r="X155" s="186"/>
      <c r="Y155" s="186"/>
      <c r="Z155" s="186"/>
      <c r="AA155" s="186"/>
    </row>
    <row r="156" spans="1:27" outlineLevel="1" x14ac:dyDescent="0.25">
      <c r="A156" s="7" t="s">
        <v>159</v>
      </c>
      <c r="B156" s="5" t="s">
        <v>468</v>
      </c>
      <c r="C156" s="174">
        <v>-28200</v>
      </c>
      <c r="D156" s="174">
        <f>VLOOKUP($A$156,Distributions!$A$4:$F$7,6,FALSE)</f>
        <v>-1590.8666666666668</v>
      </c>
      <c r="E156" s="174">
        <f>VLOOKUP($A$156,Distributions!$A$4:$F$7,6,FALSE)</f>
        <v>-1590.8666666666668</v>
      </c>
      <c r="F156" s="174">
        <f>VLOOKUP($A$156,Distributions!$A$4:$F$7,6,FALSE)</f>
        <v>-1590.8666666666668</v>
      </c>
      <c r="G156" s="174">
        <f>VLOOKUP($A$156,Distributions!$A$4:$F$7,6,FALSE)</f>
        <v>-1590.8666666666668</v>
      </c>
      <c r="H156" s="174">
        <f>VLOOKUP($A$156,Distributions!$A$4:$F$7,6,FALSE)</f>
        <v>-1590.8666666666668</v>
      </c>
      <c r="I156" s="174">
        <f>VLOOKUP($A$156,Distributions!$A$4:$F$7,6,FALSE)</f>
        <v>-1590.8666666666668</v>
      </c>
      <c r="J156" s="174">
        <f>VLOOKUP($A$156,Distributions!$A$4:$F$7,6,FALSE)</f>
        <v>-1590.8666666666668</v>
      </c>
      <c r="K156" s="174">
        <f>VLOOKUP($A$156,Distributions!$A$4:$F$7,6,FALSE)</f>
        <v>-1590.8666666666668</v>
      </c>
      <c r="L156" s="174">
        <f>VLOOKUP($A$156,Distributions!$A$4:$F$7,6,FALSE)</f>
        <v>-1590.8666666666668</v>
      </c>
      <c r="M156" s="174">
        <f>VLOOKUP($A$156,Distributions!$A$4:$F$7,6,FALSE)</f>
        <v>-1590.8666666666668</v>
      </c>
      <c r="N156" s="174">
        <f>VLOOKUP($A$156,Distributions!$A$4:$F$7,6,FALSE)</f>
        <v>-1590.8666666666668</v>
      </c>
      <c r="O156" s="174">
        <f>VLOOKUP($A$156,Distributions!$A$4:$F$7,6,FALSE)</f>
        <v>-1590.8666666666668</v>
      </c>
      <c r="P156" s="174">
        <f t="shared" si="39"/>
        <v>-19090.400000000001</v>
      </c>
      <c r="Q156" s="174">
        <f t="shared" si="31"/>
        <v>9109.5999999999985</v>
      </c>
      <c r="R156" s="186"/>
      <c r="S156" s="186"/>
      <c r="T156" s="186"/>
      <c r="U156" s="186"/>
      <c r="V156" s="186"/>
      <c r="W156" s="186"/>
      <c r="X156" s="186"/>
      <c r="Y156" s="186"/>
      <c r="Z156" s="186"/>
      <c r="AA156" s="186"/>
    </row>
    <row r="157" spans="1:27" ht="15.75" outlineLevel="1" thickBot="1" x14ac:dyDescent="0.3">
      <c r="A157" s="7" t="s">
        <v>534</v>
      </c>
      <c r="B157" s="5" t="s">
        <v>535</v>
      </c>
      <c r="C157" s="174">
        <v>-6972</v>
      </c>
      <c r="D157" s="174">
        <f>VLOOKUP($A$157,Distributions!$A$4:$F$7,6,FALSE)</f>
        <v>-3246.6666666666665</v>
      </c>
      <c r="E157" s="174">
        <f>VLOOKUP($A$157,Distributions!$A$4:$F$7,6,FALSE)</f>
        <v>-3246.6666666666665</v>
      </c>
      <c r="F157" s="174">
        <f>VLOOKUP($A$157,Distributions!$A$4:$F$7,6,FALSE)</f>
        <v>-3246.6666666666665</v>
      </c>
      <c r="G157" s="174">
        <f>VLOOKUP($A$157,Distributions!$A$4:$F$7,6,FALSE)</f>
        <v>-3246.6666666666665</v>
      </c>
      <c r="H157" s="174">
        <f>VLOOKUP($A$157,Distributions!$A$4:$F$7,6,FALSE)</f>
        <v>-3246.6666666666665</v>
      </c>
      <c r="I157" s="174">
        <f>VLOOKUP($A$157,Distributions!$A$4:$F$7,6,FALSE)</f>
        <v>-3246.6666666666665</v>
      </c>
      <c r="J157" s="174">
        <f>VLOOKUP($A$157,Distributions!$A$4:$F$7,6,FALSE)</f>
        <v>-3246.6666666666665</v>
      </c>
      <c r="K157" s="174">
        <f>VLOOKUP($A$157,Distributions!$A$4:$F$7,6,FALSE)</f>
        <v>-3246.6666666666665</v>
      </c>
      <c r="L157" s="174">
        <f>VLOOKUP($A$157,Distributions!$A$4:$F$7,6,FALSE)</f>
        <v>-3246.6666666666665</v>
      </c>
      <c r="M157" s="174">
        <f>VLOOKUP($A$157,Distributions!$A$4:$F$7,6,FALSE)</f>
        <v>-3246.6666666666665</v>
      </c>
      <c r="N157" s="174">
        <f>VLOOKUP($A$157,Distributions!$A$4:$F$7,6,FALSE)</f>
        <v>-3246.6666666666665</v>
      </c>
      <c r="O157" s="174">
        <f>VLOOKUP($A$157,Distributions!$A$4:$F$7,6,FALSE)</f>
        <v>-3246.6666666666665</v>
      </c>
      <c r="P157" s="174">
        <f t="shared" si="39"/>
        <v>-38960</v>
      </c>
      <c r="Q157" s="174">
        <f t="shared" si="31"/>
        <v>-31988</v>
      </c>
      <c r="R157" s="186"/>
      <c r="S157" s="186"/>
      <c r="T157" s="186"/>
      <c r="U157" s="186"/>
      <c r="V157" s="186"/>
      <c r="W157" s="186"/>
      <c r="X157" s="186"/>
      <c r="Y157" s="186"/>
      <c r="Z157" s="186"/>
      <c r="AA157" s="186"/>
    </row>
    <row r="158" spans="1:27" s="121" customFormat="1" x14ac:dyDescent="0.25">
      <c r="A158" s="6" t="s">
        <v>160</v>
      </c>
      <c r="B158" s="3" t="s">
        <v>161</v>
      </c>
      <c r="C158" s="176">
        <f>SUM(C154:C157)</f>
        <v>-63948</v>
      </c>
      <c r="D158" s="176">
        <f>SUM(D154:D157)</f>
        <v>-6493.3333333333339</v>
      </c>
      <c r="E158" s="176">
        <f>SUM(E154:E157)</f>
        <v>-6493.3333333333339</v>
      </c>
      <c r="F158" s="176">
        <f>SUM(F154:F157)</f>
        <v>-6493.3333333333339</v>
      </c>
      <c r="G158" s="176">
        <f>SUM(G154:G157)</f>
        <v>-6493.3333333333339</v>
      </c>
      <c r="H158" s="176">
        <f>SUM(H154:H157)</f>
        <v>-6493.3333333333339</v>
      </c>
      <c r="I158" s="176">
        <f>SUM(I154:I157)</f>
        <v>-6493.3333333333339</v>
      </c>
      <c r="J158" s="176">
        <f>SUM(J154:J157)</f>
        <v>-6493.3333333333339</v>
      </c>
      <c r="K158" s="176">
        <f>SUM(K154:K157)</f>
        <v>-6493.3333333333339</v>
      </c>
      <c r="L158" s="176">
        <f>SUM(L154:L157)</f>
        <v>-6493.3333333333339</v>
      </c>
      <c r="M158" s="176">
        <f>SUM(M154:M157)</f>
        <v>-6493.3333333333339</v>
      </c>
      <c r="N158" s="176">
        <f>SUM(N154:N157)</f>
        <v>-6493.3333333333339</v>
      </c>
      <c r="O158" s="176">
        <f>SUM(O154:O157)</f>
        <v>-6493.3333333333339</v>
      </c>
      <c r="P158" s="176">
        <f>SUM(P154:P157)</f>
        <v>-77920</v>
      </c>
      <c r="Q158" s="176">
        <f t="shared" si="31"/>
        <v>-13972</v>
      </c>
    </row>
    <row r="159" spans="1:27" x14ac:dyDescent="0.25">
      <c r="A159" s="1"/>
      <c r="B159" s="5"/>
      <c r="C159" s="181"/>
      <c r="D159" s="181"/>
      <c r="F159" s="181"/>
      <c r="G159" s="181"/>
      <c r="H159" s="181"/>
      <c r="I159" s="181"/>
      <c r="J159" s="181"/>
      <c r="K159" s="181"/>
      <c r="L159" s="181"/>
      <c r="M159" s="181"/>
      <c r="N159" s="181"/>
      <c r="O159" s="181"/>
      <c r="P159" s="181"/>
      <c r="Q159" s="181" t="str">
        <f t="shared" si="31"/>
        <v/>
      </c>
    </row>
    <row r="160" spans="1:27" ht="15.75" thickBot="1" x14ac:dyDescent="0.3">
      <c r="A160" s="1"/>
      <c r="B160" s="5"/>
      <c r="C160" s="179"/>
      <c r="D160" s="179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 t="str">
        <f t="shared" si="31"/>
        <v/>
      </c>
    </row>
    <row r="161" spans="1:17" s="121" customFormat="1" x14ac:dyDescent="0.25">
      <c r="A161" s="6"/>
      <c r="B161" s="3" t="s">
        <v>162</v>
      </c>
      <c r="C161" s="176">
        <f>C139+C144+C151+C158</f>
        <v>-193849</v>
      </c>
      <c r="D161" s="176">
        <f>D139+D144+D151+D158</f>
        <v>2359.4166666666697</v>
      </c>
      <c r="E161" s="176">
        <f>E139+E144+E151+E158</f>
        <v>-17087.113333333335</v>
      </c>
      <c r="F161" s="176">
        <f>F139+F144+F151+F158</f>
        <v>-17675.773333333331</v>
      </c>
      <c r="G161" s="176">
        <f>G139+G144+G151+G158</f>
        <v>2313.8266666666659</v>
      </c>
      <c r="H161" s="176">
        <f>H139+H144+H151+H158</f>
        <v>-17323.203333333331</v>
      </c>
      <c r="I161" s="176">
        <f>I139+I144+I151+I158</f>
        <v>-17148.173333333332</v>
      </c>
      <c r="J161" s="176">
        <f>J139+J144+J151+J158</f>
        <v>3051.2766666666685</v>
      </c>
      <c r="K161" s="176">
        <f>K139+K144+K151+K158</f>
        <v>-17178.363333333335</v>
      </c>
      <c r="L161" s="176">
        <f>L139+L144+L151+L158</f>
        <v>-17193.233333333334</v>
      </c>
      <c r="M161" s="176">
        <f>M139+M144+M151+M158</f>
        <v>3007.5366666666687</v>
      </c>
      <c r="N161" s="176">
        <f>N139+N144+N151+N158</f>
        <v>-17223.723333333335</v>
      </c>
      <c r="O161" s="176">
        <f>O139+O144+O151+O158</f>
        <v>-17425.683333333334</v>
      </c>
      <c r="P161" s="176">
        <f>P139+P144+P151+P158</f>
        <v>-127523.20999999999</v>
      </c>
      <c r="Q161" s="176">
        <f t="shared" ref="Q161:Q163" si="40">IF(C161&lt;&gt;"",P161-C161,"")</f>
        <v>66325.790000000008</v>
      </c>
    </row>
    <row r="162" spans="1:17" s="121" customFormat="1" ht="15.75" thickBot="1" x14ac:dyDescent="0.3">
      <c r="A162" s="6"/>
      <c r="B162" s="3"/>
      <c r="C162" s="183"/>
      <c r="D162" s="183"/>
      <c r="E162" s="183"/>
      <c r="F162" s="183"/>
      <c r="G162" s="183"/>
      <c r="H162" s="183"/>
      <c r="I162" s="183"/>
      <c r="J162" s="183"/>
      <c r="K162" s="183"/>
      <c r="L162" s="183"/>
      <c r="M162" s="183"/>
      <c r="N162" s="183"/>
      <c r="O162" s="183"/>
      <c r="P162" s="183"/>
      <c r="Q162" s="183" t="str">
        <f t="shared" si="40"/>
        <v/>
      </c>
    </row>
    <row r="163" spans="1:17" s="121" customFormat="1" x14ac:dyDescent="0.25">
      <c r="A163" s="6"/>
      <c r="B163" s="3" t="s">
        <v>163</v>
      </c>
      <c r="C163" s="176">
        <f>SUM(C161,C120)</f>
        <v>426034.68999999994</v>
      </c>
      <c r="D163" s="176">
        <f>SUM(D161,D120)</f>
        <v>-7397.6086666666688</v>
      </c>
      <c r="E163" s="176">
        <f>SUM(E161,E120)</f>
        <v>1468.141333333333</v>
      </c>
      <c r="F163" s="176">
        <f>SUM(F161,F120)</f>
        <v>-346.55866666666407</v>
      </c>
      <c r="G163" s="176">
        <f>SUM(G161,G120)</f>
        <v>-1351.5486666666711</v>
      </c>
      <c r="H163" s="176">
        <f>SUM(H161,H120)</f>
        <v>-1508.6086666666633</v>
      </c>
      <c r="I163" s="176">
        <f>SUM(I161,I120)</f>
        <v>-6293.3961666666655</v>
      </c>
      <c r="J163" s="176">
        <f>SUM(J161,J120)</f>
        <v>-2907.608666666667</v>
      </c>
      <c r="K163" s="176">
        <f>SUM(K161,K120)</f>
        <v>-1287.773666666666</v>
      </c>
      <c r="L163" s="176">
        <f>SUM(L161,L120)</f>
        <v>-3250.4286666666667</v>
      </c>
      <c r="M163" s="176">
        <f>SUM(M161,M120)</f>
        <v>-1977.6586666666644</v>
      </c>
      <c r="N163" s="176">
        <f>SUM(N161,N120)</f>
        <v>-969.03366666666625</v>
      </c>
      <c r="O163" s="176">
        <f>SUM(O161,O120)</f>
        <v>918.15133333333506</v>
      </c>
      <c r="P163" s="176">
        <f>SUM(P161,P120)</f>
        <v>-16754.254000000044</v>
      </c>
      <c r="Q163" s="176">
        <f t="shared" si="40"/>
        <v>-442788.94400000002</v>
      </c>
    </row>
    <row r="164" spans="1:17" s="121" customFormat="1" x14ac:dyDescent="0.25">
      <c r="A164" s="188"/>
      <c r="B164" s="188"/>
      <c r="C164" s="188"/>
      <c r="D164" s="188"/>
      <c r="E164" s="188"/>
      <c r="F164" s="188"/>
      <c r="G164" s="188"/>
      <c r="H164" s="188"/>
      <c r="I164" s="188"/>
      <c r="J164" s="188"/>
      <c r="K164" s="188"/>
      <c r="L164" s="188"/>
      <c r="M164" s="188"/>
      <c r="N164" s="188"/>
      <c r="O164" s="188"/>
      <c r="P164" s="188"/>
      <c r="Q164" s="188"/>
    </row>
    <row r="165" spans="1:17" s="121" customFormat="1" hidden="1" x14ac:dyDescent="0.25">
      <c r="A165" s="6"/>
      <c r="B165" s="3" t="s">
        <v>391</v>
      </c>
      <c r="C165" s="184"/>
      <c r="D165" s="185"/>
      <c r="E165" s="185">
        <f>D166</f>
        <v>-7397.6086666666688</v>
      </c>
      <c r="F165" s="185">
        <f t="shared" ref="F165:O165" si="41">E166</f>
        <v>-5929.4673333333358</v>
      </c>
      <c r="G165" s="185">
        <f t="shared" si="41"/>
        <v>-6276.0259999999998</v>
      </c>
      <c r="H165" s="185">
        <f t="shared" si="41"/>
        <v>-7627.574666666671</v>
      </c>
      <c r="I165" s="185">
        <f t="shared" si="41"/>
        <v>-9136.1833333333343</v>
      </c>
      <c r="J165" s="185">
        <f t="shared" si="41"/>
        <v>-15429.5795</v>
      </c>
      <c r="K165" s="185">
        <f t="shared" si="41"/>
        <v>-18337.188166666667</v>
      </c>
      <c r="L165" s="185">
        <f t="shared" si="41"/>
        <v>-19624.961833333335</v>
      </c>
      <c r="M165" s="185">
        <f t="shared" si="41"/>
        <v>-22875.390500000001</v>
      </c>
      <c r="N165" s="185">
        <f t="shared" si="41"/>
        <v>-24853.049166666664</v>
      </c>
      <c r="O165" s="185">
        <f t="shared" si="41"/>
        <v>-25822.08283333333</v>
      </c>
      <c r="P165" s="184"/>
      <c r="Q165" s="184"/>
    </row>
    <row r="166" spans="1:17" s="121" customFormat="1" hidden="1" x14ac:dyDescent="0.25">
      <c r="A166" s="6"/>
      <c r="B166" s="3" t="s">
        <v>392</v>
      </c>
      <c r="C166" s="185"/>
      <c r="D166" s="185">
        <f>D165+D163</f>
        <v>-7397.6086666666688</v>
      </c>
      <c r="E166" s="185">
        <f>E165+E163</f>
        <v>-5929.4673333333358</v>
      </c>
      <c r="F166" s="185">
        <f t="shared" ref="F166:O166" si="42">F165+F163</f>
        <v>-6276.0259999999998</v>
      </c>
      <c r="G166" s="185">
        <f t="shared" si="42"/>
        <v>-7627.574666666671</v>
      </c>
      <c r="H166" s="185">
        <f t="shared" si="42"/>
        <v>-9136.1833333333343</v>
      </c>
      <c r="I166" s="185">
        <f t="shared" si="42"/>
        <v>-15429.5795</v>
      </c>
      <c r="J166" s="185">
        <f t="shared" si="42"/>
        <v>-18337.188166666667</v>
      </c>
      <c r="K166" s="185">
        <f t="shared" si="42"/>
        <v>-19624.961833333335</v>
      </c>
      <c r="L166" s="185">
        <f t="shared" si="42"/>
        <v>-22875.390500000001</v>
      </c>
      <c r="M166" s="185">
        <f t="shared" si="42"/>
        <v>-24853.049166666664</v>
      </c>
      <c r="N166" s="185">
        <f t="shared" si="42"/>
        <v>-25822.08283333333</v>
      </c>
      <c r="O166" s="185">
        <f t="shared" si="42"/>
        <v>-24903.931499999995</v>
      </c>
      <c r="P166" s="185"/>
      <c r="Q166" s="185"/>
    </row>
    <row r="167" spans="1:17" s="121" customFormat="1" hidden="1" x14ac:dyDescent="0.25">
      <c r="A167" s="6"/>
      <c r="B167" s="3"/>
      <c r="C167" s="185"/>
      <c r="D167" s="180"/>
      <c r="E167" s="180"/>
      <c r="F167" s="180"/>
      <c r="G167" s="180"/>
      <c r="H167" s="180"/>
      <c r="I167" s="180"/>
      <c r="J167" s="180"/>
      <c r="K167" s="180"/>
      <c r="L167" s="180"/>
      <c r="M167" s="180"/>
      <c r="N167" s="180"/>
      <c r="O167" s="180"/>
      <c r="P167" s="185"/>
      <c r="Q167" s="185"/>
    </row>
    <row r="168" spans="1:17" s="121" customFormat="1" x14ac:dyDescent="0.25">
      <c r="A168" s="6"/>
      <c r="B168" s="3"/>
      <c r="C168" s="185"/>
      <c r="D168" s="180"/>
      <c r="E168" s="180"/>
      <c r="F168" s="180"/>
      <c r="G168" s="180"/>
      <c r="H168" s="180"/>
      <c r="I168" s="180"/>
      <c r="J168" s="180"/>
      <c r="K168" s="180"/>
      <c r="L168" s="180"/>
      <c r="M168" s="180"/>
      <c r="N168" s="174"/>
      <c r="O168" s="174"/>
      <c r="P168" s="185"/>
      <c r="Q168" s="185"/>
    </row>
    <row r="169" spans="1:17" x14ac:dyDescent="0.25">
      <c r="A169" s="1"/>
      <c r="B169" s="5"/>
      <c r="C169" s="175"/>
      <c r="D169" s="174"/>
      <c r="E169" s="174"/>
      <c r="F169" s="174"/>
      <c r="G169" s="174"/>
      <c r="H169" s="174"/>
      <c r="I169" s="174"/>
      <c r="J169" s="174"/>
      <c r="K169" s="174"/>
      <c r="L169" s="174"/>
      <c r="M169" s="174"/>
      <c r="N169" s="174"/>
      <c r="P169" s="175"/>
      <c r="Q169" s="175"/>
    </row>
    <row r="170" spans="1:17" x14ac:dyDescent="0.25">
      <c r="A170" s="5"/>
      <c r="B170" s="5" t="s">
        <v>497</v>
      </c>
      <c r="C170" s="175"/>
      <c r="D170" s="174"/>
      <c r="E170" s="174"/>
      <c r="F170" s="174"/>
      <c r="G170" s="174"/>
      <c r="H170" s="174"/>
      <c r="I170" s="174"/>
      <c r="J170" s="174"/>
      <c r="K170" s="174"/>
      <c r="L170" s="174"/>
      <c r="M170" s="174"/>
      <c r="N170" s="174"/>
      <c r="P170" s="175"/>
      <c r="Q170" s="175"/>
    </row>
    <row r="171" spans="1:17" x14ac:dyDescent="0.25">
      <c r="A171" s="1"/>
      <c r="B171" s="5" t="s">
        <v>517</v>
      </c>
      <c r="C171" s="175"/>
      <c r="D171" s="174"/>
      <c r="E171" s="174"/>
      <c r="F171" s="174"/>
      <c r="G171" s="174"/>
      <c r="H171" s="174"/>
      <c r="I171" s="174"/>
      <c r="J171" s="174"/>
      <c r="K171" s="174"/>
      <c r="L171" s="174"/>
      <c r="M171" s="174"/>
      <c r="N171" s="174"/>
      <c r="O171" s="174"/>
      <c r="P171" s="174">
        <f>SUM(D171:O171)</f>
        <v>0</v>
      </c>
      <c r="Q171" s="175"/>
    </row>
    <row r="172" spans="1:17" x14ac:dyDescent="0.25">
      <c r="A172" s="229"/>
      <c r="B172" s="5" t="s">
        <v>533</v>
      </c>
      <c r="C172" s="175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5"/>
    </row>
    <row r="173" spans="1:17" x14ac:dyDescent="0.25">
      <c r="A173" s="229"/>
      <c r="B173" s="5" t="s">
        <v>520</v>
      </c>
      <c r="C173" s="175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5"/>
    </row>
    <row r="174" spans="1:17" x14ac:dyDescent="0.25">
      <c r="A174" s="229"/>
      <c r="B174" s="5" t="s">
        <v>521</v>
      </c>
      <c r="C174" s="175"/>
      <c r="D174" s="174"/>
      <c r="E174" s="174"/>
      <c r="F174" s="174"/>
      <c r="G174" s="174"/>
      <c r="H174" s="174"/>
      <c r="I174" s="174"/>
      <c r="J174" s="174"/>
      <c r="K174" s="174"/>
      <c r="L174" s="174"/>
      <c r="M174" s="174"/>
      <c r="N174" s="174"/>
      <c r="O174" s="174"/>
      <c r="P174" s="174"/>
      <c r="Q174" s="175"/>
    </row>
    <row r="175" spans="1:17" x14ac:dyDescent="0.25">
      <c r="A175" s="215"/>
      <c r="B175" s="5" t="s">
        <v>522</v>
      </c>
      <c r="C175" s="175"/>
      <c r="D175" s="174"/>
      <c r="E175" s="174"/>
      <c r="F175" s="174"/>
      <c r="G175" s="174"/>
      <c r="H175" s="174"/>
      <c r="I175" s="174"/>
      <c r="J175" s="174"/>
      <c r="K175" s="174"/>
      <c r="L175" s="174"/>
      <c r="M175" s="174"/>
      <c r="N175" s="174"/>
      <c r="O175" s="174"/>
      <c r="P175" s="174">
        <f>SUM(D175:O175)</f>
        <v>0</v>
      </c>
      <c r="Q175" s="175"/>
    </row>
    <row r="176" spans="1:17" ht="15.75" thickBot="1" x14ac:dyDescent="0.3">
      <c r="A176" s="215"/>
      <c r="B176" s="5" t="s">
        <v>526</v>
      </c>
      <c r="C176" s="175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>
        <f t="shared" ref="P176" si="43">SUM(D176:O176)</f>
        <v>0</v>
      </c>
      <c r="Q176" s="175"/>
    </row>
    <row r="177" spans="1:17" x14ac:dyDescent="0.25">
      <c r="B177" s="3" t="s">
        <v>496</v>
      </c>
      <c r="C177"/>
      <c r="D177" s="176">
        <f>SUM(D171:D176)</f>
        <v>0</v>
      </c>
      <c r="E177" s="176">
        <f>SUM(E171:E176)</f>
        <v>0</v>
      </c>
      <c r="F177" s="176">
        <f>SUM(F171:F176)</f>
        <v>0</v>
      </c>
      <c r="G177" s="176">
        <f>SUM(G171:G176)</f>
        <v>0</v>
      </c>
      <c r="H177" s="176">
        <f>SUM(H171:H176)</f>
        <v>0</v>
      </c>
      <c r="I177" s="176">
        <f>SUM(I171:I176)</f>
        <v>0</v>
      </c>
      <c r="J177" s="176">
        <f>SUM(J171:J176)</f>
        <v>0</v>
      </c>
      <c r="K177" s="176">
        <f>SUM(K171:K176)</f>
        <v>0</v>
      </c>
      <c r="L177" s="176">
        <f>SUM(L171:L176)</f>
        <v>0</v>
      </c>
      <c r="M177" s="176">
        <f>SUM(M171:M176)</f>
        <v>0</v>
      </c>
      <c r="N177" s="176">
        <f>SUM(N171:N176)</f>
        <v>0</v>
      </c>
      <c r="O177" s="176">
        <f>SUM(O171:O176)</f>
        <v>0</v>
      </c>
      <c r="P177" s="176">
        <f>SUM(P171:P176)</f>
        <v>0</v>
      </c>
      <c r="Q177"/>
    </row>
    <row r="178" spans="1:17" x14ac:dyDescent="0.25">
      <c r="A178" s="1"/>
      <c r="B178" s="3"/>
      <c r="C178" s="184"/>
      <c r="D178" s="183"/>
      <c r="E178" s="183"/>
      <c r="F178" s="183"/>
      <c r="G178" s="183"/>
      <c r="H178" s="183"/>
      <c r="I178" s="183"/>
      <c r="J178" s="183"/>
      <c r="K178" s="183"/>
      <c r="L178" s="183"/>
      <c r="M178" s="183"/>
      <c r="N178" s="183"/>
      <c r="O178" s="183"/>
      <c r="P178" s="184"/>
      <c r="Q178" s="184"/>
    </row>
    <row r="179" spans="1:17" x14ac:dyDescent="0.25">
      <c r="A179" s="1"/>
      <c r="B179" s="5"/>
      <c r="C179" s="175"/>
      <c r="D179" s="174"/>
      <c r="E179" s="174"/>
      <c r="F179" s="174"/>
      <c r="G179" s="174"/>
      <c r="H179" s="174"/>
      <c r="I179" s="174"/>
      <c r="J179" s="174"/>
      <c r="K179" s="174"/>
      <c r="L179" s="174"/>
      <c r="M179" s="174"/>
      <c r="N179" s="174"/>
      <c r="O179" s="174"/>
      <c r="P179" s="175"/>
      <c r="Q179" s="175"/>
    </row>
    <row r="180" spans="1:17" x14ac:dyDescent="0.25">
      <c r="A180" s="1"/>
      <c r="B180" s="3" t="s">
        <v>498</v>
      </c>
      <c r="C180" s="175"/>
      <c r="D180" s="180">
        <f>D163+D177</f>
        <v>-7397.6086666666688</v>
      </c>
      <c r="E180" s="180">
        <f>E163+E177</f>
        <v>1468.141333333333</v>
      </c>
      <c r="F180" s="180">
        <f>F163+F177</f>
        <v>-346.55866666666407</v>
      </c>
      <c r="G180" s="180">
        <f>G163+G177</f>
        <v>-1351.5486666666711</v>
      </c>
      <c r="H180" s="180">
        <f>H163+H177</f>
        <v>-1508.6086666666633</v>
      </c>
      <c r="I180" s="180">
        <f>I163+I177</f>
        <v>-6293.3961666666655</v>
      </c>
      <c r="J180" s="180">
        <f>J163+J177</f>
        <v>-2907.608666666667</v>
      </c>
      <c r="K180" s="180">
        <f>K163+K177</f>
        <v>-1287.773666666666</v>
      </c>
      <c r="L180" s="180">
        <f>L163+L177</f>
        <v>-3250.4286666666667</v>
      </c>
      <c r="M180" s="180">
        <f>M163+M177</f>
        <v>-1977.6586666666644</v>
      </c>
      <c r="N180" s="180">
        <f>N163+N177</f>
        <v>-969.03366666666625</v>
      </c>
      <c r="O180" s="180">
        <f>O163+O177</f>
        <v>918.15133333333506</v>
      </c>
      <c r="P180" s="180">
        <f>P163+P177</f>
        <v>-16754.254000000044</v>
      </c>
      <c r="Q180" s="175"/>
    </row>
    <row r="181" spans="1:17" x14ac:dyDescent="0.25">
      <c r="A181" s="1"/>
      <c r="B181" s="5"/>
      <c r="C181" s="175"/>
      <c r="D181" s="174"/>
      <c r="E181" s="174"/>
      <c r="F181" s="174"/>
      <c r="G181" s="174"/>
      <c r="H181" s="174"/>
      <c r="I181" s="174"/>
      <c r="J181" s="174"/>
      <c r="K181" s="174"/>
      <c r="L181" s="174"/>
      <c r="M181" s="174"/>
      <c r="N181" s="174"/>
      <c r="O181" s="174"/>
      <c r="P181" s="175"/>
      <c r="Q181" s="175"/>
    </row>
    <row r="182" spans="1:17" x14ac:dyDescent="0.25">
      <c r="A182" s="1"/>
      <c r="B182" s="5"/>
      <c r="C182" s="175"/>
      <c r="D182" s="174"/>
      <c r="E182" s="174"/>
      <c r="F182" s="174"/>
      <c r="G182" s="174"/>
      <c r="H182" s="174"/>
      <c r="I182" s="174"/>
      <c r="J182" s="174"/>
      <c r="K182" s="174"/>
      <c r="L182" s="174"/>
      <c r="M182" s="174"/>
      <c r="N182" s="174"/>
      <c r="O182" s="174"/>
      <c r="P182" s="175"/>
      <c r="Q182" s="175"/>
    </row>
    <row r="183" spans="1:17" x14ac:dyDescent="0.25">
      <c r="A183" s="1"/>
      <c r="B183" s="31"/>
      <c r="C183" s="175"/>
      <c r="D183" s="174"/>
      <c r="E183" s="174"/>
      <c r="F183" s="174"/>
      <c r="G183" s="174"/>
      <c r="H183" s="174"/>
      <c r="I183" s="174"/>
      <c r="J183" s="174"/>
      <c r="K183" s="174"/>
      <c r="L183" s="174"/>
      <c r="M183" s="174"/>
      <c r="N183" s="174"/>
      <c r="O183" s="174"/>
      <c r="P183" s="175"/>
      <c r="Q183" s="175"/>
    </row>
    <row r="184" spans="1:17" x14ac:dyDescent="0.25">
      <c r="A184" s="1"/>
      <c r="B184" s="31"/>
      <c r="C184" s="185"/>
      <c r="D184" s="180"/>
      <c r="E184" s="180"/>
      <c r="F184" s="180"/>
      <c r="G184" s="180"/>
      <c r="H184" s="180"/>
      <c r="I184" s="180"/>
      <c r="J184" s="180"/>
      <c r="K184" s="180"/>
      <c r="L184" s="180"/>
      <c r="M184" s="180"/>
      <c r="N184" s="180"/>
      <c r="O184" s="180"/>
      <c r="P184" s="185"/>
      <c r="Q184" s="185"/>
    </row>
    <row r="185" spans="1:17" x14ac:dyDescent="0.25">
      <c r="B185" s="31"/>
    </row>
    <row r="186" spans="1:17" x14ac:dyDescent="0.25">
      <c r="B186" s="31"/>
    </row>
    <row r="187" spans="1:17" x14ac:dyDescent="0.25">
      <c r="B187" s="31"/>
    </row>
    <row r="188" spans="1:17" x14ac:dyDescent="0.25">
      <c r="B188" s="31"/>
    </row>
  </sheetData>
  <mergeCells count="3">
    <mergeCell ref="A1:Q1"/>
    <mergeCell ref="A2:Q2"/>
    <mergeCell ref="C126:Q126"/>
  </mergeCells>
  <printOptions gridLines="1"/>
  <pageMargins left="0.1701388888888889" right="0.1701388888888889" top="0.1701388888888889" bottom="0.1701388888888889" header="0" footer="0"/>
  <pageSetup paperSize="5" scale="65" fitToHeight="990" orientation="portrait" r:id="rId1"/>
  <headerFooter>
    <oddHeader>&amp;R&amp;B&amp;D &amp;T</oddHeader>
    <oddFooter>&amp;C&amp;B Page &amp;P of &amp;N</oddFooter>
  </headerFooter>
  <rowBreaks count="1" manualBreakCount="1">
    <brk id="7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zoomScale="85" zoomScaleNormal="8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32" sqref="E32"/>
    </sheetView>
  </sheetViews>
  <sheetFormatPr defaultRowHeight="15" x14ac:dyDescent="0.25"/>
  <cols>
    <col min="1" max="1" width="91.7109375" style="31" bestFit="1" customWidth="1"/>
    <col min="2" max="2" width="8.85546875" style="32" bestFit="1" customWidth="1"/>
    <col min="3" max="3" width="8.85546875" style="102" bestFit="1" customWidth="1"/>
    <col min="4" max="4" width="10" style="102" bestFit="1" customWidth="1"/>
    <col min="5" max="16" width="13.28515625" style="103" bestFit="1" customWidth="1"/>
    <col min="17" max="17" width="12.140625" style="103" bestFit="1" customWidth="1"/>
    <col min="18" max="18" width="11.7109375" style="103" bestFit="1" customWidth="1"/>
    <col min="19" max="19" width="10" style="31" bestFit="1" customWidth="1"/>
    <col min="20" max="20" width="38" style="31" bestFit="1" customWidth="1"/>
    <col min="21" max="21" width="53.5703125" style="31" bestFit="1" customWidth="1"/>
    <col min="22" max="16384" width="9.140625" style="31"/>
  </cols>
  <sheetData>
    <row r="1" spans="1:21" x14ac:dyDescent="0.25">
      <c r="A1" s="12" t="s">
        <v>525</v>
      </c>
      <c r="T1" s="31" t="s">
        <v>402</v>
      </c>
    </row>
    <row r="2" spans="1:21" x14ac:dyDescent="0.25">
      <c r="A2" s="12" t="s">
        <v>373</v>
      </c>
    </row>
    <row r="4" spans="1:21" s="104" customFormat="1" x14ac:dyDescent="0.25">
      <c r="A4" s="104" t="s">
        <v>374</v>
      </c>
      <c r="B4" s="104" t="s">
        <v>216</v>
      </c>
      <c r="C4" s="105" t="s">
        <v>375</v>
      </c>
      <c r="D4" s="105" t="s">
        <v>433</v>
      </c>
      <c r="E4" s="106" t="s">
        <v>421</v>
      </c>
      <c r="F4" s="106" t="s">
        <v>422</v>
      </c>
      <c r="G4" s="106" t="s">
        <v>423</v>
      </c>
      <c r="H4" s="106" t="s">
        <v>424</v>
      </c>
      <c r="I4" s="106" t="s">
        <v>425</v>
      </c>
      <c r="J4" s="106" t="s">
        <v>426</v>
      </c>
      <c r="K4" s="106" t="s">
        <v>427</v>
      </c>
      <c r="L4" s="106" t="s">
        <v>428</v>
      </c>
      <c r="M4" s="106" t="s">
        <v>429</v>
      </c>
      <c r="N4" s="106" t="s">
        <v>430</v>
      </c>
      <c r="O4" s="106" t="s">
        <v>431</v>
      </c>
      <c r="P4" s="106" t="s">
        <v>432</v>
      </c>
      <c r="Q4" s="107" t="s">
        <v>167</v>
      </c>
      <c r="R4" s="107" t="s">
        <v>403</v>
      </c>
      <c r="S4" s="104" t="s">
        <v>404</v>
      </c>
      <c r="T4" s="104" t="s">
        <v>405</v>
      </c>
      <c r="U4" s="104" t="s">
        <v>406</v>
      </c>
    </row>
    <row r="5" spans="1:21" x14ac:dyDescent="0.25">
      <c r="A5" s="31" t="s">
        <v>517</v>
      </c>
      <c r="B5" s="32" t="s">
        <v>518</v>
      </c>
      <c r="C5" s="102">
        <v>1105</v>
      </c>
      <c r="D5" s="111"/>
      <c r="E5" s="103">
        <v>3825.61</v>
      </c>
      <c r="F5" s="103">
        <v>3825.61</v>
      </c>
      <c r="G5" s="103">
        <v>3825.61</v>
      </c>
      <c r="H5" s="103">
        <v>3825.61</v>
      </c>
      <c r="I5" s="240">
        <v>3940.38</v>
      </c>
      <c r="J5" s="240">
        <v>3940.38</v>
      </c>
      <c r="K5" s="240">
        <v>3940.38</v>
      </c>
      <c r="L5" s="240">
        <v>3940.38</v>
      </c>
      <c r="M5" s="240">
        <v>3940.38</v>
      </c>
      <c r="N5" s="240">
        <v>3940.38</v>
      </c>
      <c r="O5" s="240">
        <v>3940.38</v>
      </c>
      <c r="P5" s="240">
        <v>3940.38</v>
      </c>
      <c r="Q5" s="103">
        <f>SUM(E5:P5)</f>
        <v>46825.479999999996</v>
      </c>
      <c r="T5" s="31" t="s">
        <v>400</v>
      </c>
    </row>
    <row r="6" spans="1:21" s="24" customFormat="1" x14ac:dyDescent="0.25">
      <c r="A6" s="24" t="s">
        <v>519</v>
      </c>
      <c r="B6" s="25" t="s">
        <v>518</v>
      </c>
      <c r="C6" s="108">
        <v>1105</v>
      </c>
      <c r="D6" s="109"/>
      <c r="E6" s="110">
        <v>2808.91</v>
      </c>
      <c r="F6" s="110">
        <v>2808.91</v>
      </c>
      <c r="G6" s="110">
        <v>2808.91</v>
      </c>
      <c r="H6" s="110">
        <v>2808.91</v>
      </c>
      <c r="I6" s="110">
        <v>2808.91</v>
      </c>
      <c r="J6" s="110">
        <v>2808.91</v>
      </c>
      <c r="K6" s="110">
        <v>2808.91</v>
      </c>
      <c r="L6" s="110">
        <v>2808.91</v>
      </c>
      <c r="M6" s="110">
        <v>2808.91</v>
      </c>
      <c r="N6" s="110">
        <v>2808.91</v>
      </c>
      <c r="O6" s="110">
        <v>2808.91</v>
      </c>
      <c r="P6" s="110">
        <v>2808.91</v>
      </c>
      <c r="Q6" s="110">
        <f t="shared" ref="Q6:Q12" si="0">SUM(E6:P6)</f>
        <v>33706.92</v>
      </c>
      <c r="R6" s="110"/>
      <c r="T6" s="24" t="s">
        <v>408</v>
      </c>
    </row>
    <row r="7" spans="1:21" x14ac:dyDescent="0.25">
      <c r="A7" s="31" t="s">
        <v>520</v>
      </c>
      <c r="B7" s="32" t="s">
        <v>518</v>
      </c>
      <c r="C7" s="102">
        <v>6604</v>
      </c>
      <c r="D7" s="111"/>
      <c r="E7" s="103">
        <v>12542.95</v>
      </c>
      <c r="F7" s="103">
        <v>12542.95</v>
      </c>
      <c r="G7" s="103">
        <v>12542.95</v>
      </c>
      <c r="H7" s="103">
        <v>12542.95</v>
      </c>
      <c r="I7" s="103">
        <v>12542.95</v>
      </c>
      <c r="J7" s="103">
        <v>12542.95</v>
      </c>
      <c r="K7" s="103">
        <v>12542.95</v>
      </c>
      <c r="L7" s="103">
        <v>12542.95</v>
      </c>
      <c r="M7" s="103">
        <v>12542.95</v>
      </c>
      <c r="N7" s="103">
        <v>12542.95</v>
      </c>
      <c r="O7" s="103">
        <v>12542.95</v>
      </c>
      <c r="P7" s="103">
        <v>12542.95</v>
      </c>
      <c r="Q7" s="103">
        <f t="shared" si="0"/>
        <v>150515.4</v>
      </c>
      <c r="T7" s="31" t="s">
        <v>409</v>
      </c>
    </row>
    <row r="8" spans="1:21" s="24" customFormat="1" x14ac:dyDescent="0.25">
      <c r="A8" s="24" t="s">
        <v>521</v>
      </c>
      <c r="B8" s="25" t="s">
        <v>518</v>
      </c>
      <c r="C8" s="108">
        <v>1105</v>
      </c>
      <c r="D8" s="109"/>
      <c r="E8" s="110">
        <v>3454.87</v>
      </c>
      <c r="F8" s="110">
        <v>3454.87</v>
      </c>
      <c r="G8" s="110">
        <v>3454.87</v>
      </c>
      <c r="H8" s="110">
        <v>3454.87</v>
      </c>
      <c r="I8" s="110">
        <v>3454.87</v>
      </c>
      <c r="J8" s="110">
        <v>3454.87</v>
      </c>
      <c r="K8" s="110">
        <v>3454.87</v>
      </c>
      <c r="L8" s="110">
        <v>3454.87</v>
      </c>
      <c r="M8" s="110">
        <v>3454.87</v>
      </c>
      <c r="N8" s="110">
        <v>3454.87</v>
      </c>
      <c r="O8" s="110">
        <v>3454.87</v>
      </c>
      <c r="P8" s="110">
        <v>3454.87</v>
      </c>
      <c r="Q8" s="110">
        <f t="shared" si="0"/>
        <v>41458.44</v>
      </c>
      <c r="R8" s="110"/>
      <c r="T8" s="24" t="s">
        <v>410</v>
      </c>
    </row>
    <row r="9" spans="1:21" x14ac:dyDescent="0.25">
      <c r="A9" s="31" t="s">
        <v>522</v>
      </c>
      <c r="B9" s="32" t="s">
        <v>518</v>
      </c>
      <c r="C9" s="102">
        <v>1105</v>
      </c>
      <c r="D9" s="111"/>
      <c r="E9" s="103">
        <v>2800</v>
      </c>
      <c r="F9" s="103">
        <v>2800</v>
      </c>
      <c r="G9" s="103">
        <v>2800</v>
      </c>
      <c r="H9" s="103">
        <v>2800</v>
      </c>
      <c r="I9" s="103">
        <v>2800</v>
      </c>
      <c r="J9" s="103">
        <v>2884</v>
      </c>
      <c r="K9" s="103">
        <v>2884</v>
      </c>
      <c r="L9" s="103">
        <v>2884</v>
      </c>
      <c r="M9" s="103">
        <v>2884</v>
      </c>
      <c r="N9" s="103">
        <v>2884</v>
      </c>
      <c r="O9" s="240">
        <v>2970.52</v>
      </c>
      <c r="P9" s="240">
        <v>2970.52</v>
      </c>
      <c r="Q9" s="103">
        <f t="shared" si="0"/>
        <v>34361.040000000001</v>
      </c>
      <c r="T9" s="31" t="s">
        <v>395</v>
      </c>
    </row>
    <row r="10" spans="1:21" x14ac:dyDescent="0.25">
      <c r="A10" s="125" t="s">
        <v>526</v>
      </c>
      <c r="B10" s="32" t="s">
        <v>518</v>
      </c>
      <c r="C10" s="102">
        <v>1040</v>
      </c>
      <c r="D10" s="102">
        <v>25</v>
      </c>
      <c r="E10" s="103">
        <v>2946.67</v>
      </c>
      <c r="F10" s="103">
        <v>2946.67</v>
      </c>
      <c r="G10" s="103">
        <v>2946.67</v>
      </c>
      <c r="H10" s="103">
        <v>2946.67</v>
      </c>
      <c r="I10" s="240">
        <v>3035.07</v>
      </c>
      <c r="J10" s="240">
        <v>3035.07</v>
      </c>
      <c r="K10" s="240">
        <v>3035.07</v>
      </c>
      <c r="L10" s="240">
        <v>3035.07</v>
      </c>
      <c r="M10" s="240">
        <v>3035.07</v>
      </c>
      <c r="N10" s="240">
        <v>3035.07</v>
      </c>
      <c r="O10" s="240">
        <v>3035.07</v>
      </c>
      <c r="P10" s="240">
        <v>3035.07</v>
      </c>
      <c r="Q10" s="103">
        <f t="shared" si="0"/>
        <v>36067.24</v>
      </c>
      <c r="T10" s="31" t="s">
        <v>396</v>
      </c>
    </row>
    <row r="11" spans="1:21" x14ac:dyDescent="0.25">
      <c r="A11" s="31" t="s">
        <v>523</v>
      </c>
      <c r="B11" s="32" t="s">
        <v>518</v>
      </c>
      <c r="C11" s="105">
        <v>1235</v>
      </c>
      <c r="D11" s="102">
        <v>25</v>
      </c>
      <c r="Q11" s="103">
        <f t="shared" si="0"/>
        <v>0</v>
      </c>
      <c r="T11" s="31" t="s">
        <v>401</v>
      </c>
      <c r="U11" s="31" t="s">
        <v>411</v>
      </c>
    </row>
    <row r="12" spans="1:21" s="112" customFormat="1" x14ac:dyDescent="0.25">
      <c r="A12" s="112" t="s">
        <v>524</v>
      </c>
      <c r="B12" s="113" t="s">
        <v>518</v>
      </c>
      <c r="C12" s="114">
        <v>2400</v>
      </c>
      <c r="D12" s="114">
        <v>5</v>
      </c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>
        <f t="shared" si="0"/>
        <v>0</v>
      </c>
      <c r="R12" s="115"/>
      <c r="T12" s="112" t="s">
        <v>412</v>
      </c>
    </row>
    <row r="13" spans="1:21" x14ac:dyDescent="0.25">
      <c r="T13" s="31" t="s">
        <v>413</v>
      </c>
      <c r="U13" s="31" t="s">
        <v>414</v>
      </c>
    </row>
    <row r="14" spans="1:21" x14ac:dyDescent="0.25">
      <c r="T14" s="31" t="s">
        <v>397</v>
      </c>
    </row>
    <row r="15" spans="1:21" x14ac:dyDescent="0.25">
      <c r="T15" s="31" t="s">
        <v>415</v>
      </c>
    </row>
    <row r="16" spans="1:21" x14ac:dyDescent="0.25">
      <c r="T16" s="31" t="s">
        <v>416</v>
      </c>
    </row>
    <row r="17" spans="1:21" x14ac:dyDescent="0.25">
      <c r="T17" s="31" t="s">
        <v>417</v>
      </c>
    </row>
    <row r="18" spans="1:21" x14ac:dyDescent="0.25">
      <c r="T18" s="31" t="s">
        <v>399</v>
      </c>
      <c r="U18" s="31" t="s">
        <v>418</v>
      </c>
    </row>
    <row r="19" spans="1:21" x14ac:dyDescent="0.25">
      <c r="A19" s="125"/>
      <c r="T19" s="31" t="s">
        <v>419</v>
      </c>
    </row>
    <row r="20" spans="1:21" x14ac:dyDescent="0.25">
      <c r="Q20" s="103">
        <f t="shared" ref="Q6:Q27" si="1">SUM(E20:P20)</f>
        <v>0</v>
      </c>
      <c r="T20" s="31">
        <v>0</v>
      </c>
    </row>
    <row r="21" spans="1:21" x14ac:dyDescent="0.25">
      <c r="Q21" s="103">
        <f t="shared" si="1"/>
        <v>0</v>
      </c>
      <c r="T21" s="31">
        <v>0</v>
      </c>
    </row>
    <row r="22" spans="1:21" x14ac:dyDescent="0.25">
      <c r="Q22" s="103">
        <f t="shared" si="1"/>
        <v>0</v>
      </c>
      <c r="T22" s="31">
        <v>0</v>
      </c>
    </row>
    <row r="23" spans="1:21" x14ac:dyDescent="0.25">
      <c r="Q23" s="103">
        <f t="shared" si="1"/>
        <v>0</v>
      </c>
      <c r="T23" s="31">
        <v>0</v>
      </c>
    </row>
    <row r="24" spans="1:21" x14ac:dyDescent="0.25">
      <c r="Q24" s="103">
        <f t="shared" si="1"/>
        <v>0</v>
      </c>
      <c r="T24" s="31">
        <v>0</v>
      </c>
    </row>
    <row r="25" spans="1:21" x14ac:dyDescent="0.25">
      <c r="Q25" s="103">
        <f t="shared" si="1"/>
        <v>0</v>
      </c>
      <c r="T25" s="31">
        <v>0</v>
      </c>
    </row>
    <row r="26" spans="1:21" x14ac:dyDescent="0.25">
      <c r="Q26" s="103">
        <f t="shared" si="1"/>
        <v>0</v>
      </c>
      <c r="T26" s="31">
        <v>0</v>
      </c>
    </row>
    <row r="27" spans="1:21" x14ac:dyDescent="0.25">
      <c r="Q27" s="103">
        <f t="shared" si="1"/>
        <v>0</v>
      </c>
      <c r="T27" s="31">
        <v>0</v>
      </c>
    </row>
    <row r="28" spans="1:21" x14ac:dyDescent="0.25">
      <c r="T28" s="31">
        <v>0</v>
      </c>
    </row>
    <row r="32" spans="1:21" x14ac:dyDescent="0.25">
      <c r="A32" s="31" t="s">
        <v>380</v>
      </c>
      <c r="C32" s="102">
        <f t="shared" ref="C32:P32" si="2">SUM(C5:C31)</f>
        <v>15699</v>
      </c>
      <c r="D32" s="102">
        <f t="shared" si="2"/>
        <v>55</v>
      </c>
      <c r="E32" s="124">
        <f t="shared" si="2"/>
        <v>28379.010000000002</v>
      </c>
      <c r="F32" s="124">
        <f t="shared" si="2"/>
        <v>28379.010000000002</v>
      </c>
      <c r="G32" s="124">
        <f t="shared" si="2"/>
        <v>28379.010000000002</v>
      </c>
      <c r="H32" s="124">
        <f t="shared" si="2"/>
        <v>28379.010000000002</v>
      </c>
      <c r="I32" s="124">
        <f t="shared" si="2"/>
        <v>28582.18</v>
      </c>
      <c r="J32" s="124">
        <f t="shared" si="2"/>
        <v>28666.18</v>
      </c>
      <c r="K32" s="124">
        <f t="shared" si="2"/>
        <v>28666.18</v>
      </c>
      <c r="L32" s="124">
        <f t="shared" si="2"/>
        <v>28666.18</v>
      </c>
      <c r="M32" s="124">
        <f t="shared" si="2"/>
        <v>28666.18</v>
      </c>
      <c r="N32" s="124">
        <f t="shared" si="2"/>
        <v>28666.18</v>
      </c>
      <c r="O32" s="124">
        <f t="shared" si="2"/>
        <v>28752.7</v>
      </c>
      <c r="P32" s="124">
        <f t="shared" si="2"/>
        <v>28752.7</v>
      </c>
      <c r="Q32" s="103">
        <f>SUM(Q5:Q19)</f>
        <v>342934.51999999996</v>
      </c>
    </row>
    <row r="33" spans="1:17" x14ac:dyDescent="0.25">
      <c r="Q33" s="103">
        <f>SUM(E32:P32)</f>
        <v>342934.52</v>
      </c>
    </row>
    <row r="35" spans="1:17" x14ac:dyDescent="0.25">
      <c r="A35" s="31" t="s">
        <v>420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10" sqref="F10"/>
    </sheetView>
  </sheetViews>
  <sheetFormatPr defaultRowHeight="15" x14ac:dyDescent="0.25"/>
  <cols>
    <col min="1" max="1" width="38" style="31" bestFit="1" customWidth="1"/>
    <col min="2" max="2" width="8.85546875" style="32" bestFit="1" customWidth="1"/>
    <col min="3" max="4" width="8.42578125" style="102" bestFit="1" customWidth="1"/>
    <col min="5" max="16" width="10.5703125" style="103" bestFit="1" customWidth="1"/>
    <col min="17" max="17" width="12.140625" style="103" bestFit="1" customWidth="1"/>
    <col min="18" max="18" width="11.5703125" style="103" bestFit="1" customWidth="1"/>
    <col min="19" max="19" width="8.7109375" style="31" bestFit="1" customWidth="1"/>
    <col min="20" max="20" width="12.140625" style="31" bestFit="1" customWidth="1"/>
    <col min="21" max="16384" width="9.140625" style="31"/>
  </cols>
  <sheetData>
    <row r="1" spans="1:20" x14ac:dyDescent="0.25">
      <c r="A1" s="12" t="s">
        <v>435</v>
      </c>
    </row>
    <row r="2" spans="1:20" x14ac:dyDescent="0.25">
      <c r="A2" s="12" t="s">
        <v>381</v>
      </c>
    </row>
    <row r="4" spans="1:20" s="104" customFormat="1" x14ac:dyDescent="0.25">
      <c r="A4" s="104" t="s">
        <v>374</v>
      </c>
      <c r="B4" s="104" t="s">
        <v>216</v>
      </c>
      <c r="C4" s="105" t="s">
        <v>375</v>
      </c>
      <c r="D4" s="105" t="s">
        <v>433</v>
      </c>
      <c r="E4" s="106" t="s">
        <v>421</v>
      </c>
      <c r="F4" s="106" t="s">
        <v>422</v>
      </c>
      <c r="G4" s="106" t="s">
        <v>423</v>
      </c>
      <c r="H4" s="106" t="s">
        <v>424</v>
      </c>
      <c r="I4" s="106" t="s">
        <v>425</v>
      </c>
      <c r="J4" s="106" t="s">
        <v>426</v>
      </c>
      <c r="K4" s="106" t="s">
        <v>427</v>
      </c>
      <c r="L4" s="106" t="s">
        <v>428</v>
      </c>
      <c r="M4" s="106" t="s">
        <v>429</v>
      </c>
      <c r="N4" s="106" t="s">
        <v>430</v>
      </c>
      <c r="O4" s="106" t="s">
        <v>431</v>
      </c>
      <c r="P4" s="106" t="s">
        <v>432</v>
      </c>
      <c r="Q4" s="107" t="s">
        <v>167</v>
      </c>
      <c r="R4" s="107" t="s">
        <v>376</v>
      </c>
      <c r="S4" s="104" t="s">
        <v>0</v>
      </c>
      <c r="T4" s="104" t="s">
        <v>205</v>
      </c>
    </row>
    <row r="6" spans="1:20" s="24" customFormat="1" x14ac:dyDescent="0.25">
      <c r="A6" s="31" t="s">
        <v>517</v>
      </c>
      <c r="B6" s="32" t="s">
        <v>518</v>
      </c>
      <c r="C6" s="102">
        <v>1105</v>
      </c>
      <c r="D6" s="111">
        <v>26.997894736842106</v>
      </c>
      <c r="E6" s="103">
        <v>17.5</v>
      </c>
      <c r="F6" s="103">
        <v>17.5</v>
      </c>
      <c r="G6" s="103">
        <v>17.5</v>
      </c>
      <c r="H6" s="103">
        <v>17.5</v>
      </c>
      <c r="I6" s="103">
        <v>17.5</v>
      </c>
      <c r="J6" s="103">
        <v>17.5</v>
      </c>
      <c r="K6" s="103">
        <v>17.5</v>
      </c>
      <c r="L6" s="103">
        <v>17.5</v>
      </c>
      <c r="M6" s="103">
        <v>17.5</v>
      </c>
      <c r="N6" s="103">
        <v>17.5</v>
      </c>
      <c r="O6" s="103">
        <v>17.5</v>
      </c>
      <c r="P6" s="103">
        <v>17.5</v>
      </c>
      <c r="Q6" s="103">
        <f>SUM(E6:P6)</f>
        <v>210</v>
      </c>
      <c r="R6" s="110"/>
    </row>
    <row r="7" spans="1:20" x14ac:dyDescent="0.25">
      <c r="A7" s="24" t="s">
        <v>519</v>
      </c>
      <c r="B7" s="25" t="s">
        <v>518</v>
      </c>
      <c r="C7" s="108">
        <v>1105</v>
      </c>
      <c r="D7" s="109">
        <v>16.23</v>
      </c>
      <c r="E7" s="110">
        <v>12</v>
      </c>
      <c r="F7" s="110">
        <v>12</v>
      </c>
      <c r="G7" s="110">
        <v>12</v>
      </c>
      <c r="H7" s="110">
        <v>12</v>
      </c>
      <c r="I7" s="110">
        <v>12</v>
      </c>
      <c r="J7" s="110">
        <v>12</v>
      </c>
      <c r="K7" s="110">
        <v>12</v>
      </c>
      <c r="L7" s="110">
        <v>12</v>
      </c>
      <c r="M7" s="110">
        <v>12</v>
      </c>
      <c r="N7" s="110">
        <v>12</v>
      </c>
      <c r="O7" s="110">
        <v>12</v>
      </c>
      <c r="P7" s="110">
        <v>12</v>
      </c>
      <c r="Q7" s="110">
        <f t="shared" ref="Q7:Q9" si="0">SUM(E7:P7)</f>
        <v>144</v>
      </c>
    </row>
    <row r="8" spans="1:20" s="24" customFormat="1" x14ac:dyDescent="0.25">
      <c r="A8" s="31" t="s">
        <v>520</v>
      </c>
      <c r="B8" s="32" t="s">
        <v>518</v>
      </c>
      <c r="C8" s="102">
        <v>6604</v>
      </c>
      <c r="D8" s="111">
        <v>21.492967741935484</v>
      </c>
      <c r="E8" s="103">
        <v>0</v>
      </c>
      <c r="F8" s="103">
        <v>0</v>
      </c>
      <c r="G8" s="103">
        <v>0</v>
      </c>
      <c r="H8" s="103">
        <v>0</v>
      </c>
      <c r="I8" s="103">
        <v>0</v>
      </c>
      <c r="J8" s="103">
        <v>0</v>
      </c>
      <c r="K8" s="103">
        <v>0</v>
      </c>
      <c r="L8" s="103">
        <v>0</v>
      </c>
      <c r="M8" s="103">
        <v>0</v>
      </c>
      <c r="N8" s="103">
        <v>0</v>
      </c>
      <c r="O8" s="103">
        <v>0</v>
      </c>
      <c r="P8" s="103">
        <v>0</v>
      </c>
      <c r="Q8" s="103">
        <f t="shared" si="0"/>
        <v>0</v>
      </c>
      <c r="R8" s="110"/>
    </row>
    <row r="9" spans="1:20" x14ac:dyDescent="0.25">
      <c r="A9" s="24" t="s">
        <v>521</v>
      </c>
      <c r="B9" s="25" t="s">
        <v>518</v>
      </c>
      <c r="C9" s="108">
        <v>1105</v>
      </c>
      <c r="D9" s="109">
        <v>24.041065573770489</v>
      </c>
      <c r="E9" s="110">
        <v>10</v>
      </c>
      <c r="F9" s="110">
        <v>10</v>
      </c>
      <c r="G9" s="110">
        <v>10</v>
      </c>
      <c r="H9" s="110">
        <v>10</v>
      </c>
      <c r="I9" s="110">
        <v>10</v>
      </c>
      <c r="J9" s="110">
        <v>10</v>
      </c>
      <c r="K9" s="110">
        <v>10</v>
      </c>
      <c r="L9" s="110">
        <v>10</v>
      </c>
      <c r="M9" s="110">
        <v>10</v>
      </c>
      <c r="N9" s="110">
        <v>10</v>
      </c>
      <c r="O9" s="110">
        <v>10</v>
      </c>
      <c r="P9" s="110">
        <v>10</v>
      </c>
      <c r="Q9" s="110">
        <f t="shared" si="0"/>
        <v>120</v>
      </c>
    </row>
    <row r="10" spans="1:20" s="24" customFormat="1" x14ac:dyDescent="0.25">
      <c r="A10" s="31" t="s">
        <v>522</v>
      </c>
      <c r="B10" s="32" t="s">
        <v>518</v>
      </c>
      <c r="C10" s="102">
        <v>1105</v>
      </c>
      <c r="D10" s="111">
        <v>24.345592105263155</v>
      </c>
      <c r="E10" s="103">
        <v>0</v>
      </c>
      <c r="F10" s="103">
        <v>0</v>
      </c>
      <c r="G10" s="103">
        <v>0</v>
      </c>
      <c r="H10" s="103">
        <v>0</v>
      </c>
      <c r="I10" s="103">
        <v>0</v>
      </c>
      <c r="J10" s="103">
        <v>0</v>
      </c>
      <c r="K10" s="103">
        <v>0</v>
      </c>
      <c r="L10" s="103">
        <v>0</v>
      </c>
      <c r="M10" s="103">
        <v>0</v>
      </c>
      <c r="N10" s="103">
        <v>0</v>
      </c>
      <c r="O10" s="103">
        <v>0</v>
      </c>
      <c r="P10" s="103">
        <v>0</v>
      </c>
      <c r="Q10" s="103">
        <f>SUM(E10:P10)</f>
        <v>0</v>
      </c>
      <c r="R10" s="110"/>
    </row>
    <row r="11" spans="1:20" x14ac:dyDescent="0.25">
      <c r="A11" s="31" t="s">
        <v>526</v>
      </c>
      <c r="B11" s="32" t="s">
        <v>518</v>
      </c>
      <c r="C11" s="102">
        <v>1040</v>
      </c>
      <c r="D11" s="102">
        <v>16</v>
      </c>
      <c r="E11" s="103">
        <v>0</v>
      </c>
      <c r="F11" s="103">
        <v>0</v>
      </c>
      <c r="G11" s="103">
        <v>0</v>
      </c>
      <c r="H11" s="103">
        <v>0</v>
      </c>
      <c r="I11" s="103">
        <v>0</v>
      </c>
      <c r="J11" s="103">
        <v>0</v>
      </c>
      <c r="K11" s="103">
        <v>0</v>
      </c>
      <c r="L11" s="103">
        <v>0</v>
      </c>
      <c r="M11" s="103">
        <v>0</v>
      </c>
      <c r="N11" s="103">
        <v>0</v>
      </c>
      <c r="O11" s="103">
        <v>0</v>
      </c>
      <c r="P11" s="103">
        <v>0</v>
      </c>
      <c r="Q11" s="103">
        <f t="shared" ref="Q11:Q20" si="1">SUM(E11:P11)</f>
        <v>0</v>
      </c>
      <c r="T11" s="31" t="s">
        <v>377</v>
      </c>
    </row>
    <row r="12" spans="1:20" s="24" customFormat="1" x14ac:dyDescent="0.25">
      <c r="A12" s="31" t="s">
        <v>523</v>
      </c>
      <c r="B12" s="32" t="s">
        <v>518</v>
      </c>
      <c r="C12" s="105">
        <v>1235</v>
      </c>
      <c r="D12" s="102">
        <v>21.995999999999999</v>
      </c>
      <c r="E12" s="103">
        <v>0</v>
      </c>
      <c r="F12" s="103">
        <v>0</v>
      </c>
      <c r="G12" s="103">
        <v>0</v>
      </c>
      <c r="H12" s="103">
        <v>0</v>
      </c>
      <c r="I12" s="103">
        <v>0</v>
      </c>
      <c r="J12" s="103">
        <v>0</v>
      </c>
      <c r="K12" s="103">
        <v>0</v>
      </c>
      <c r="L12" s="103">
        <v>0</v>
      </c>
      <c r="M12" s="103">
        <v>0</v>
      </c>
      <c r="N12" s="103">
        <v>0</v>
      </c>
      <c r="O12" s="103">
        <v>0</v>
      </c>
      <c r="P12" s="103">
        <v>0</v>
      </c>
      <c r="Q12" s="103">
        <f t="shared" si="1"/>
        <v>0</v>
      </c>
      <c r="R12" s="110"/>
      <c r="T12" s="24" t="s">
        <v>378</v>
      </c>
    </row>
    <row r="13" spans="1:20" x14ac:dyDescent="0.25">
      <c r="A13" s="112" t="s">
        <v>524</v>
      </c>
      <c r="B13" s="113" t="s">
        <v>518</v>
      </c>
      <c r="C13" s="114">
        <v>2400</v>
      </c>
      <c r="D13" s="114">
        <v>20</v>
      </c>
      <c r="E13" s="115">
        <v>0</v>
      </c>
      <c r="F13" s="115">
        <v>0</v>
      </c>
      <c r="G13" s="115">
        <v>0</v>
      </c>
      <c r="H13" s="115">
        <v>0</v>
      </c>
      <c r="I13" s="115">
        <v>0</v>
      </c>
      <c r="J13" s="115">
        <v>0</v>
      </c>
      <c r="K13" s="115">
        <v>0</v>
      </c>
      <c r="L13" s="115">
        <v>0</v>
      </c>
      <c r="M13" s="115">
        <v>0</v>
      </c>
      <c r="N13" s="115">
        <v>0</v>
      </c>
      <c r="O13" s="115">
        <v>0</v>
      </c>
      <c r="P13" s="115">
        <v>0</v>
      </c>
      <c r="Q13" s="115">
        <f t="shared" si="1"/>
        <v>0</v>
      </c>
      <c r="T13" s="31" t="s">
        <v>379</v>
      </c>
    </row>
    <row r="14" spans="1:20" x14ac:dyDescent="0.25">
      <c r="Q14" s="116"/>
    </row>
    <row r="15" spans="1:20" x14ac:dyDescent="0.25">
      <c r="Q15" s="116"/>
    </row>
    <row r="16" spans="1:20" x14ac:dyDescent="0.25">
      <c r="Q16" s="116"/>
    </row>
    <row r="17" spans="1:18" x14ac:dyDescent="0.25">
      <c r="Q17" s="116"/>
    </row>
    <row r="18" spans="1:18" x14ac:dyDescent="0.25">
      <c r="Q18" s="116"/>
    </row>
    <row r="19" spans="1:18" x14ac:dyDescent="0.25">
      <c r="Q19" s="116"/>
    </row>
    <row r="20" spans="1:18" x14ac:dyDescent="0.25">
      <c r="A20" s="125"/>
      <c r="Q20" s="116"/>
    </row>
    <row r="22" spans="1:18" s="117" customFormat="1" x14ac:dyDescent="0.25">
      <c r="A22" s="117" t="s">
        <v>208</v>
      </c>
      <c r="B22" s="118"/>
      <c r="C22" s="241">
        <f>SUM(C6:C21)</f>
        <v>15699</v>
      </c>
      <c r="D22" s="119"/>
      <c r="E22" s="120">
        <f t="shared" ref="E22:P22" si="2">SUM(E6:E21)</f>
        <v>39.5</v>
      </c>
      <c r="F22" s="120">
        <f t="shared" si="2"/>
        <v>39.5</v>
      </c>
      <c r="G22" s="120">
        <f t="shared" si="2"/>
        <v>39.5</v>
      </c>
      <c r="H22" s="120">
        <f t="shared" si="2"/>
        <v>39.5</v>
      </c>
      <c r="I22" s="120">
        <f t="shared" si="2"/>
        <v>39.5</v>
      </c>
      <c r="J22" s="120">
        <f t="shared" si="2"/>
        <v>39.5</v>
      </c>
      <c r="K22" s="120">
        <f t="shared" si="2"/>
        <v>39.5</v>
      </c>
      <c r="L22" s="120">
        <f t="shared" si="2"/>
        <v>39.5</v>
      </c>
      <c r="M22" s="120">
        <f t="shared" si="2"/>
        <v>39.5</v>
      </c>
      <c r="N22" s="120">
        <f t="shared" si="2"/>
        <v>39.5</v>
      </c>
      <c r="O22" s="120">
        <f t="shared" si="2"/>
        <v>39.5</v>
      </c>
      <c r="P22" s="120">
        <f t="shared" si="2"/>
        <v>39.5</v>
      </c>
      <c r="Q22" s="120">
        <f>SUM(E22:P22)</f>
        <v>474</v>
      </c>
      <c r="R22" s="120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10" sqref="E10"/>
    </sheetView>
  </sheetViews>
  <sheetFormatPr defaultRowHeight="15" x14ac:dyDescent="0.25"/>
  <cols>
    <col min="1" max="1" width="40.42578125" style="31" customWidth="1"/>
    <col min="2" max="2" width="9.140625" style="32"/>
    <col min="3" max="4" width="9.140625" style="102"/>
    <col min="5" max="16" width="9.140625" style="103"/>
    <col min="17" max="17" width="11.5703125" style="103" bestFit="1" customWidth="1"/>
    <col min="18" max="18" width="9.140625" style="103"/>
    <col min="19" max="19" width="9.140625" style="31"/>
    <col min="20" max="20" width="65.28515625" style="31" customWidth="1"/>
    <col min="21" max="16384" width="9.140625" style="31"/>
  </cols>
  <sheetData>
    <row r="1" spans="1:20" x14ac:dyDescent="0.25">
      <c r="A1" s="12" t="s">
        <v>436</v>
      </c>
    </row>
    <row r="2" spans="1:20" x14ac:dyDescent="0.25">
      <c r="A2" s="12" t="s">
        <v>382</v>
      </c>
    </row>
    <row r="4" spans="1:20" s="104" customFormat="1" x14ac:dyDescent="0.25">
      <c r="A4" s="104" t="s">
        <v>374</v>
      </c>
      <c r="B4" s="104" t="s">
        <v>216</v>
      </c>
      <c r="C4" s="105" t="s">
        <v>375</v>
      </c>
      <c r="D4" s="105" t="s">
        <v>433</v>
      </c>
      <c r="E4" s="106" t="s">
        <v>421</v>
      </c>
      <c r="F4" s="106" t="s">
        <v>422</v>
      </c>
      <c r="G4" s="106" t="s">
        <v>423</v>
      </c>
      <c r="H4" s="106" t="s">
        <v>424</v>
      </c>
      <c r="I4" s="106" t="s">
        <v>425</v>
      </c>
      <c r="J4" s="106" t="s">
        <v>426</v>
      </c>
      <c r="K4" s="106" t="s">
        <v>427</v>
      </c>
      <c r="L4" s="106" t="s">
        <v>428</v>
      </c>
      <c r="M4" s="106" t="s">
        <v>429</v>
      </c>
      <c r="N4" s="106" t="s">
        <v>430</v>
      </c>
      <c r="O4" s="106" t="s">
        <v>431</v>
      </c>
      <c r="P4" s="106" t="s">
        <v>432</v>
      </c>
      <c r="Q4" s="107" t="s">
        <v>167</v>
      </c>
      <c r="R4" s="107" t="s">
        <v>376</v>
      </c>
      <c r="S4" s="104" t="s">
        <v>0</v>
      </c>
      <c r="T4" s="104" t="s">
        <v>205</v>
      </c>
    </row>
    <row r="6" spans="1:20" s="24" customFormat="1" x14ac:dyDescent="0.25">
      <c r="A6" s="31" t="s">
        <v>517</v>
      </c>
      <c r="B6" s="32" t="s">
        <v>407</v>
      </c>
      <c r="C6" s="102">
        <v>1105</v>
      </c>
      <c r="D6" s="111">
        <v>26.997894736842106</v>
      </c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10">
        <f t="shared" ref="Q6" si="0">SUM(E6:P6)</f>
        <v>0</v>
      </c>
      <c r="R6" s="110"/>
    </row>
    <row r="7" spans="1:20" x14ac:dyDescent="0.25">
      <c r="A7" s="24" t="s">
        <v>519</v>
      </c>
      <c r="B7" s="25" t="s">
        <v>407</v>
      </c>
      <c r="C7" s="108">
        <v>1105</v>
      </c>
      <c r="D7" s="109">
        <v>16.23</v>
      </c>
      <c r="E7" s="110">
        <v>191.39</v>
      </c>
      <c r="F7" s="110">
        <v>191.39</v>
      </c>
      <c r="G7" s="110">
        <v>191.39</v>
      </c>
      <c r="H7" s="110">
        <v>191.39</v>
      </c>
      <c r="I7" s="110">
        <v>191.39</v>
      </c>
      <c r="J7" s="110">
        <v>191.39</v>
      </c>
      <c r="K7" s="110">
        <v>191.39</v>
      </c>
      <c r="L7" s="110">
        <v>191.39</v>
      </c>
      <c r="M7" s="110">
        <v>191.39</v>
      </c>
      <c r="N7" s="110">
        <v>191.39</v>
      </c>
      <c r="O7" s="110">
        <v>191.39</v>
      </c>
      <c r="P7" s="110">
        <v>191.39</v>
      </c>
      <c r="Q7" s="110">
        <f>SUM(E7:P7)</f>
        <v>2296.6799999999994</v>
      </c>
    </row>
    <row r="8" spans="1:20" s="24" customFormat="1" x14ac:dyDescent="0.25">
      <c r="A8" s="31" t="s">
        <v>520</v>
      </c>
      <c r="B8" s="32" t="s">
        <v>407</v>
      </c>
      <c r="C8" s="102">
        <v>6604</v>
      </c>
      <c r="D8" s="111">
        <v>21.492967741935484</v>
      </c>
      <c r="E8" s="103">
        <v>983.57</v>
      </c>
      <c r="F8" s="103">
        <v>983.57</v>
      </c>
      <c r="G8" s="103">
        <v>983.57</v>
      </c>
      <c r="H8" s="103">
        <v>983.57</v>
      </c>
      <c r="I8" s="103">
        <v>983.57</v>
      </c>
      <c r="J8" s="103">
        <v>983.57</v>
      </c>
      <c r="K8" s="103">
        <v>983.57</v>
      </c>
      <c r="L8" s="103">
        <v>983.57</v>
      </c>
      <c r="M8" s="103">
        <v>983.57</v>
      </c>
      <c r="N8" s="103">
        <v>983.57</v>
      </c>
      <c r="O8" s="103">
        <v>983.57</v>
      </c>
      <c r="P8" s="103">
        <v>983.57</v>
      </c>
      <c r="Q8" s="110">
        <f t="shared" ref="Q8:Q13" si="1">SUM(E8:P8)</f>
        <v>11802.839999999998</v>
      </c>
      <c r="R8" s="110"/>
    </row>
    <row r="9" spans="1:20" x14ac:dyDescent="0.25">
      <c r="A9" s="24" t="s">
        <v>521</v>
      </c>
      <c r="B9" s="25" t="s">
        <v>407</v>
      </c>
      <c r="C9" s="108">
        <v>1105</v>
      </c>
      <c r="D9" s="109">
        <v>24.041065573770489</v>
      </c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>
        <f t="shared" si="1"/>
        <v>0</v>
      </c>
    </row>
    <row r="10" spans="1:20" s="24" customFormat="1" x14ac:dyDescent="0.25">
      <c r="A10" s="31" t="s">
        <v>522</v>
      </c>
      <c r="B10" s="32" t="s">
        <v>407</v>
      </c>
      <c r="C10" s="102">
        <v>1105</v>
      </c>
      <c r="D10" s="111">
        <v>24.345592105263155</v>
      </c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10">
        <f t="shared" si="1"/>
        <v>0</v>
      </c>
      <c r="R10" s="110"/>
    </row>
    <row r="11" spans="1:20" x14ac:dyDescent="0.25">
      <c r="A11" s="31" t="s">
        <v>526</v>
      </c>
      <c r="B11" s="32" t="s">
        <v>407</v>
      </c>
      <c r="C11" s="102">
        <v>1040</v>
      </c>
      <c r="D11" s="102">
        <v>16</v>
      </c>
      <c r="Q11" s="110">
        <f t="shared" si="1"/>
        <v>0</v>
      </c>
      <c r="T11" s="31" t="s">
        <v>377</v>
      </c>
    </row>
    <row r="12" spans="1:20" s="24" customFormat="1" x14ac:dyDescent="0.25">
      <c r="A12" s="31" t="s">
        <v>523</v>
      </c>
      <c r="B12" s="32" t="s">
        <v>407</v>
      </c>
      <c r="C12" s="105">
        <v>1235</v>
      </c>
      <c r="D12" s="102">
        <v>21.995999999999999</v>
      </c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10">
        <f t="shared" si="1"/>
        <v>0</v>
      </c>
      <c r="R12" s="110"/>
      <c r="T12" s="24" t="s">
        <v>378</v>
      </c>
    </row>
    <row r="13" spans="1:20" x14ac:dyDescent="0.25">
      <c r="A13" s="112" t="s">
        <v>524</v>
      </c>
      <c r="B13" s="113" t="s">
        <v>407</v>
      </c>
      <c r="C13" s="114">
        <v>2400</v>
      </c>
      <c r="D13" s="114">
        <v>20</v>
      </c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0">
        <f t="shared" si="1"/>
        <v>0</v>
      </c>
      <c r="T13" s="31" t="s">
        <v>379</v>
      </c>
    </row>
    <row r="16" spans="1:20" s="117" customFormat="1" x14ac:dyDescent="0.25">
      <c r="A16" s="31"/>
      <c r="B16" s="32"/>
      <c r="C16" s="102"/>
      <c r="D16" s="102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20"/>
    </row>
    <row r="20" spans="1:17" x14ac:dyDescent="0.25">
      <c r="A20" s="125"/>
    </row>
    <row r="21" spans="1:17" x14ac:dyDescent="0.25">
      <c r="C21" s="105">
        <f>SUM(C7:C15)</f>
        <v>14594</v>
      </c>
    </row>
    <row r="22" spans="1:17" x14ac:dyDescent="0.25">
      <c r="A22" s="117" t="s">
        <v>208</v>
      </c>
      <c r="B22" s="118"/>
      <c r="C22" s="119"/>
      <c r="D22" s="119"/>
      <c r="E22" s="120">
        <f t="shared" ref="E22:P22" si="2">SUM(E6:E21)</f>
        <v>1174.96</v>
      </c>
      <c r="F22" s="120">
        <f t="shared" si="2"/>
        <v>1174.96</v>
      </c>
      <c r="G22" s="120">
        <f t="shared" si="2"/>
        <v>1174.96</v>
      </c>
      <c r="H22" s="120">
        <f t="shared" si="2"/>
        <v>1174.96</v>
      </c>
      <c r="I22" s="120">
        <f t="shared" si="2"/>
        <v>1174.96</v>
      </c>
      <c r="J22" s="120">
        <f t="shared" si="2"/>
        <v>1174.96</v>
      </c>
      <c r="K22" s="120">
        <f t="shared" si="2"/>
        <v>1174.96</v>
      </c>
      <c r="L22" s="120">
        <f t="shared" si="2"/>
        <v>1174.96</v>
      </c>
      <c r="M22" s="120">
        <f t="shared" si="2"/>
        <v>1174.96</v>
      </c>
      <c r="N22" s="120">
        <f t="shared" si="2"/>
        <v>1174.96</v>
      </c>
      <c r="O22" s="120">
        <f t="shared" si="2"/>
        <v>1174.96</v>
      </c>
      <c r="P22" s="120">
        <f t="shared" si="2"/>
        <v>1174.96</v>
      </c>
      <c r="Q22" s="120">
        <f>SUM(E22:P22)</f>
        <v>14099.519999999997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20" sqref="D20"/>
    </sheetView>
  </sheetViews>
  <sheetFormatPr defaultRowHeight="15" x14ac:dyDescent="0.25"/>
  <cols>
    <col min="1" max="1" width="40.42578125" style="31" customWidth="1"/>
    <col min="2" max="2" width="9.140625" style="32"/>
    <col min="3" max="3" width="9.140625" style="102"/>
    <col min="4" max="16" width="9.140625" style="103"/>
    <col min="17" max="17" width="11.5703125" style="103" bestFit="1" customWidth="1"/>
    <col min="18" max="18" width="9.140625" style="31"/>
    <col min="19" max="19" width="65.28515625" style="31" customWidth="1"/>
    <col min="20" max="16384" width="9.140625" style="31"/>
  </cols>
  <sheetData>
    <row r="1" spans="1:19" x14ac:dyDescent="0.25">
      <c r="A1" s="12" t="s">
        <v>436</v>
      </c>
    </row>
    <row r="2" spans="1:19" x14ac:dyDescent="0.25">
      <c r="A2" s="12" t="s">
        <v>383</v>
      </c>
    </row>
    <row r="4" spans="1:19" s="104" customFormat="1" x14ac:dyDescent="0.25">
      <c r="A4" s="104" t="s">
        <v>374</v>
      </c>
      <c r="B4" s="104" t="s">
        <v>216</v>
      </c>
      <c r="C4" s="105" t="s">
        <v>375</v>
      </c>
      <c r="D4" s="105" t="s">
        <v>433</v>
      </c>
      <c r="E4" s="106">
        <v>42370</v>
      </c>
      <c r="F4" s="106">
        <v>42401</v>
      </c>
      <c r="G4" s="106">
        <v>42430</v>
      </c>
      <c r="H4" s="106">
        <v>42461</v>
      </c>
      <c r="I4" s="106">
        <v>42491</v>
      </c>
      <c r="J4" s="106">
        <v>42522</v>
      </c>
      <c r="K4" s="106">
        <v>42552</v>
      </c>
      <c r="L4" s="106">
        <v>42583</v>
      </c>
      <c r="M4" s="106">
        <v>42614</v>
      </c>
      <c r="N4" s="106">
        <v>42644</v>
      </c>
      <c r="O4" s="106">
        <v>42675</v>
      </c>
      <c r="P4" s="106">
        <v>42705</v>
      </c>
      <c r="Q4" s="107" t="s">
        <v>204</v>
      </c>
      <c r="R4" s="104" t="s">
        <v>0</v>
      </c>
      <c r="S4" s="104" t="s">
        <v>205</v>
      </c>
    </row>
    <row r="6" spans="1:19" s="24" customFormat="1" x14ac:dyDescent="0.25">
      <c r="A6" s="31" t="s">
        <v>400</v>
      </c>
      <c r="B6" s="32" t="s">
        <v>407</v>
      </c>
      <c r="C6" s="102">
        <v>2850</v>
      </c>
      <c r="D6" s="111">
        <v>26.997894736842106</v>
      </c>
      <c r="E6" s="103">
        <v>0</v>
      </c>
      <c r="F6" s="103">
        <v>0</v>
      </c>
      <c r="G6" s="103">
        <v>0</v>
      </c>
      <c r="H6" s="103">
        <v>0</v>
      </c>
      <c r="I6" s="103">
        <v>0</v>
      </c>
      <c r="J6" s="103">
        <v>0</v>
      </c>
      <c r="K6" s="103">
        <v>0</v>
      </c>
      <c r="L6" s="103">
        <v>0</v>
      </c>
      <c r="M6" s="103">
        <v>0</v>
      </c>
      <c r="N6" s="103">
        <v>0</v>
      </c>
      <c r="O6" s="103">
        <v>0</v>
      </c>
      <c r="P6" s="103">
        <v>0</v>
      </c>
      <c r="Q6" s="103">
        <f>SUM(E6:P6)</f>
        <v>0</v>
      </c>
    </row>
    <row r="7" spans="1:19" x14ac:dyDescent="0.25">
      <c r="A7" s="24" t="s">
        <v>408</v>
      </c>
      <c r="B7" s="25" t="s">
        <v>407</v>
      </c>
      <c r="C7" s="108">
        <f>12835+1958+2403</f>
        <v>17196</v>
      </c>
      <c r="D7" s="109">
        <v>16.23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f t="shared" ref="Q7:Q9" si="0">SUM(E7:P7)</f>
        <v>0</v>
      </c>
    </row>
    <row r="8" spans="1:19" s="24" customFormat="1" x14ac:dyDescent="0.25">
      <c r="A8" s="31" t="s">
        <v>409</v>
      </c>
      <c r="B8" s="32" t="s">
        <v>407</v>
      </c>
      <c r="C8" s="102">
        <v>1240</v>
      </c>
      <c r="D8" s="111">
        <v>21.492967741935484</v>
      </c>
      <c r="E8" s="103">
        <v>0</v>
      </c>
      <c r="F8" s="103">
        <v>0</v>
      </c>
      <c r="G8" s="103">
        <v>0</v>
      </c>
      <c r="H8" s="103">
        <v>0</v>
      </c>
      <c r="I8" s="103">
        <v>0</v>
      </c>
      <c r="J8" s="103">
        <v>0</v>
      </c>
      <c r="K8" s="103">
        <v>0</v>
      </c>
      <c r="L8" s="103">
        <v>0</v>
      </c>
      <c r="M8" s="103">
        <v>0</v>
      </c>
      <c r="N8" s="103">
        <v>0</v>
      </c>
      <c r="O8" s="103">
        <v>0</v>
      </c>
      <c r="P8" s="103">
        <v>0</v>
      </c>
      <c r="Q8" s="103">
        <f t="shared" si="0"/>
        <v>0</v>
      </c>
    </row>
    <row r="9" spans="1:19" x14ac:dyDescent="0.25">
      <c r="A9" s="24" t="s">
        <v>410</v>
      </c>
      <c r="B9" s="25" t="s">
        <v>407</v>
      </c>
      <c r="C9" s="108">
        <v>976</v>
      </c>
      <c r="D9" s="109">
        <v>24.041065573770489</v>
      </c>
      <c r="E9" s="110">
        <v>0</v>
      </c>
      <c r="F9" s="110">
        <v>0</v>
      </c>
      <c r="G9" s="110">
        <v>0</v>
      </c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f t="shared" si="0"/>
        <v>0</v>
      </c>
    </row>
    <row r="10" spans="1:19" s="24" customFormat="1" x14ac:dyDescent="0.25">
      <c r="A10" s="31" t="s">
        <v>395</v>
      </c>
      <c r="B10" s="32" t="s">
        <v>407</v>
      </c>
      <c r="C10" s="102">
        <v>1216</v>
      </c>
      <c r="D10" s="111">
        <v>24.345592105263155</v>
      </c>
      <c r="E10" s="103">
        <v>0</v>
      </c>
      <c r="F10" s="103">
        <v>0</v>
      </c>
      <c r="G10" s="103">
        <v>0</v>
      </c>
      <c r="H10" s="103">
        <v>0</v>
      </c>
      <c r="I10" s="103">
        <v>0</v>
      </c>
      <c r="J10" s="103">
        <v>0</v>
      </c>
      <c r="K10" s="103">
        <v>0</v>
      </c>
      <c r="L10" s="103">
        <v>0</v>
      </c>
      <c r="M10" s="103">
        <v>0</v>
      </c>
      <c r="N10" s="103">
        <v>0</v>
      </c>
      <c r="O10" s="103">
        <v>0</v>
      </c>
      <c r="P10" s="103">
        <v>0</v>
      </c>
      <c r="Q10" s="103">
        <f>SUM(E10:P10)</f>
        <v>0</v>
      </c>
    </row>
    <row r="11" spans="1:19" x14ac:dyDescent="0.25">
      <c r="A11" s="31" t="s">
        <v>396</v>
      </c>
      <c r="B11" s="32" t="s">
        <v>407</v>
      </c>
      <c r="C11" s="102">
        <v>24000</v>
      </c>
      <c r="D11" s="102">
        <v>16</v>
      </c>
      <c r="E11" s="103">
        <v>0</v>
      </c>
      <c r="F11" s="103">
        <v>0</v>
      </c>
      <c r="G11" s="103">
        <v>0</v>
      </c>
      <c r="H11" s="103">
        <v>0</v>
      </c>
      <c r="I11" s="103">
        <v>0</v>
      </c>
      <c r="J11" s="103">
        <v>0</v>
      </c>
      <c r="K11" s="103">
        <v>0</v>
      </c>
      <c r="L11" s="103">
        <v>0</v>
      </c>
      <c r="M11" s="103">
        <v>0</v>
      </c>
      <c r="N11" s="103">
        <v>0</v>
      </c>
      <c r="O11" s="103">
        <v>0</v>
      </c>
      <c r="P11" s="103">
        <v>0</v>
      </c>
      <c r="Q11" s="103">
        <f t="shared" ref="Q11:Q20" si="1">SUM(E11:P11)</f>
        <v>0</v>
      </c>
    </row>
    <row r="12" spans="1:19" s="24" customFormat="1" x14ac:dyDescent="0.25">
      <c r="A12" s="31" t="s">
        <v>401</v>
      </c>
      <c r="B12" s="32" t="s">
        <v>407</v>
      </c>
      <c r="C12" s="105">
        <v>2000</v>
      </c>
      <c r="D12" s="102">
        <v>21.995999999999999</v>
      </c>
      <c r="E12" s="103">
        <v>0</v>
      </c>
      <c r="F12" s="103">
        <v>0</v>
      </c>
      <c r="G12" s="103">
        <v>0</v>
      </c>
      <c r="H12" s="103">
        <v>0</v>
      </c>
      <c r="I12" s="103">
        <v>0</v>
      </c>
      <c r="J12" s="103">
        <v>0</v>
      </c>
      <c r="K12" s="103">
        <v>0</v>
      </c>
      <c r="L12" s="103">
        <v>0</v>
      </c>
      <c r="M12" s="103">
        <v>0</v>
      </c>
      <c r="N12" s="103">
        <v>0</v>
      </c>
      <c r="O12" s="103">
        <v>0</v>
      </c>
      <c r="P12" s="103">
        <v>0</v>
      </c>
      <c r="Q12" s="103">
        <f t="shared" si="1"/>
        <v>0</v>
      </c>
    </row>
    <row r="13" spans="1:19" x14ac:dyDescent="0.25">
      <c r="A13" s="112" t="s">
        <v>434</v>
      </c>
      <c r="B13" s="113" t="s">
        <v>407</v>
      </c>
      <c r="C13" s="114">
        <v>1980</v>
      </c>
      <c r="D13" s="114">
        <v>20</v>
      </c>
      <c r="E13" s="115">
        <v>0</v>
      </c>
      <c r="F13" s="115">
        <v>0</v>
      </c>
      <c r="G13" s="115">
        <v>0</v>
      </c>
      <c r="H13" s="115">
        <v>0</v>
      </c>
      <c r="I13" s="115">
        <v>0</v>
      </c>
      <c r="J13" s="115">
        <v>0</v>
      </c>
      <c r="K13" s="115">
        <v>0</v>
      </c>
      <c r="L13" s="115">
        <v>0</v>
      </c>
      <c r="M13" s="115">
        <v>0</v>
      </c>
      <c r="N13" s="115">
        <v>0</v>
      </c>
      <c r="O13" s="115">
        <v>0</v>
      </c>
      <c r="P13" s="115">
        <v>0</v>
      </c>
      <c r="Q13" s="115">
        <f t="shared" si="1"/>
        <v>0</v>
      </c>
    </row>
    <row r="14" spans="1:19" x14ac:dyDescent="0.25">
      <c r="A14" s="31" t="s">
        <v>413</v>
      </c>
      <c r="B14" s="32" t="s">
        <v>407</v>
      </c>
      <c r="C14" s="102">
        <v>2000</v>
      </c>
      <c r="D14" s="102">
        <v>13.999979999999999</v>
      </c>
      <c r="E14" s="103">
        <v>0</v>
      </c>
      <c r="F14" s="103">
        <v>0</v>
      </c>
      <c r="G14" s="103">
        <v>0</v>
      </c>
      <c r="H14" s="103">
        <v>0</v>
      </c>
      <c r="I14" s="103">
        <v>0</v>
      </c>
      <c r="J14" s="103">
        <v>0</v>
      </c>
      <c r="K14" s="103">
        <v>0</v>
      </c>
      <c r="L14" s="103">
        <v>0</v>
      </c>
      <c r="M14" s="103">
        <v>0</v>
      </c>
      <c r="N14" s="103">
        <v>0</v>
      </c>
      <c r="O14" s="103">
        <v>0</v>
      </c>
      <c r="P14" s="103">
        <v>0</v>
      </c>
      <c r="Q14" s="103">
        <f t="shared" si="1"/>
        <v>0</v>
      </c>
    </row>
    <row r="15" spans="1:19" x14ac:dyDescent="0.25">
      <c r="A15" s="31" t="s">
        <v>397</v>
      </c>
      <c r="B15" s="32" t="s">
        <v>407</v>
      </c>
      <c r="C15" s="102">
        <v>1980</v>
      </c>
      <c r="D15" s="102">
        <v>16.163636363636364</v>
      </c>
      <c r="E15" s="103">
        <v>0</v>
      </c>
      <c r="F15" s="103">
        <v>0</v>
      </c>
      <c r="G15" s="103">
        <v>0</v>
      </c>
      <c r="H15" s="103">
        <v>0</v>
      </c>
      <c r="I15" s="103">
        <v>0</v>
      </c>
      <c r="J15" s="103">
        <v>0</v>
      </c>
      <c r="K15" s="103">
        <v>0</v>
      </c>
      <c r="L15" s="103">
        <v>0</v>
      </c>
      <c r="M15" s="103">
        <v>0</v>
      </c>
      <c r="N15" s="103">
        <v>0</v>
      </c>
      <c r="O15" s="103">
        <v>0</v>
      </c>
      <c r="P15" s="103">
        <v>0</v>
      </c>
      <c r="Q15" s="103">
        <f t="shared" si="1"/>
        <v>0</v>
      </c>
      <c r="S15" s="125" t="s">
        <v>437</v>
      </c>
    </row>
    <row r="16" spans="1:19" s="117" customFormat="1" x14ac:dyDescent="0.25">
      <c r="A16" s="31" t="s">
        <v>415</v>
      </c>
      <c r="B16" s="32" t="s">
        <v>407</v>
      </c>
      <c r="C16" s="102">
        <v>2000</v>
      </c>
      <c r="D16" s="102">
        <v>0</v>
      </c>
      <c r="E16" s="103">
        <v>0</v>
      </c>
      <c r="F16" s="103">
        <v>0</v>
      </c>
      <c r="G16" s="103">
        <v>0</v>
      </c>
      <c r="H16" s="103">
        <v>0</v>
      </c>
      <c r="I16" s="103">
        <v>0</v>
      </c>
      <c r="J16" s="103">
        <v>0</v>
      </c>
      <c r="K16" s="103">
        <v>0</v>
      </c>
      <c r="L16" s="103">
        <v>0</v>
      </c>
      <c r="M16" s="103">
        <v>0</v>
      </c>
      <c r="N16" s="103">
        <v>0</v>
      </c>
      <c r="O16" s="103">
        <v>0</v>
      </c>
      <c r="P16" s="103">
        <v>0</v>
      </c>
      <c r="Q16" s="103">
        <f t="shared" si="1"/>
        <v>0</v>
      </c>
    </row>
    <row r="17" spans="1:17" x14ac:dyDescent="0.25">
      <c r="A17" s="31" t="s">
        <v>416</v>
      </c>
      <c r="B17" s="32" t="s">
        <v>407</v>
      </c>
      <c r="C17" s="102">
        <v>7800</v>
      </c>
      <c r="D17" s="102">
        <v>9.5276923076923072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f t="shared" si="1"/>
        <v>0</v>
      </c>
    </row>
    <row r="18" spans="1:17" x14ac:dyDescent="0.25">
      <c r="A18" s="31" t="s">
        <v>417</v>
      </c>
      <c r="B18" s="32" t="s">
        <v>407</v>
      </c>
      <c r="C18" s="102">
        <v>3000</v>
      </c>
      <c r="D18" s="102">
        <v>27.867999999999999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f t="shared" si="1"/>
        <v>0</v>
      </c>
    </row>
    <row r="19" spans="1:17" x14ac:dyDescent="0.25">
      <c r="A19" s="31" t="s">
        <v>399</v>
      </c>
      <c r="B19" s="32" t="s">
        <v>407</v>
      </c>
      <c r="C19" s="102">
        <v>8700</v>
      </c>
      <c r="D19" s="102">
        <v>22</v>
      </c>
      <c r="E19" s="103">
        <v>0</v>
      </c>
      <c r="F19" s="103">
        <v>0</v>
      </c>
      <c r="G19" s="103">
        <v>0</v>
      </c>
      <c r="H19" s="103">
        <v>0</v>
      </c>
      <c r="I19" s="103">
        <v>0</v>
      </c>
      <c r="J19" s="103">
        <v>0</v>
      </c>
      <c r="K19" s="103">
        <v>0</v>
      </c>
      <c r="L19" s="103">
        <v>0</v>
      </c>
      <c r="M19" s="103">
        <v>0</v>
      </c>
      <c r="N19" s="103">
        <v>0</v>
      </c>
      <c r="O19" s="103">
        <v>0</v>
      </c>
      <c r="P19" s="103">
        <v>0</v>
      </c>
      <c r="Q19" s="103">
        <f t="shared" si="1"/>
        <v>0</v>
      </c>
    </row>
    <row r="20" spans="1:17" x14ac:dyDescent="0.25">
      <c r="A20" s="125" t="s">
        <v>398</v>
      </c>
      <c r="B20" s="32" t="s">
        <v>407</v>
      </c>
      <c r="C20" s="102">
        <v>3000</v>
      </c>
      <c r="D20" s="102">
        <v>13.383200000000002</v>
      </c>
      <c r="E20" s="103">
        <v>0</v>
      </c>
      <c r="F20" s="103">
        <v>0</v>
      </c>
      <c r="G20" s="103">
        <v>0</v>
      </c>
      <c r="H20" s="103">
        <v>0</v>
      </c>
      <c r="I20" s="103">
        <v>0</v>
      </c>
      <c r="J20" s="103">
        <v>0</v>
      </c>
      <c r="K20" s="103">
        <v>0</v>
      </c>
      <c r="L20" s="103">
        <v>0</v>
      </c>
      <c r="M20" s="103">
        <v>0</v>
      </c>
      <c r="N20" s="103">
        <v>0</v>
      </c>
      <c r="O20" s="103">
        <v>0</v>
      </c>
      <c r="P20" s="103">
        <v>0</v>
      </c>
      <c r="Q20" s="103">
        <f t="shared" si="1"/>
        <v>0</v>
      </c>
    </row>
    <row r="21" spans="1:17" x14ac:dyDescent="0.25">
      <c r="C21" s="105">
        <f>SUM(C7:C15)</f>
        <v>52588</v>
      </c>
      <c r="D21" s="102"/>
    </row>
    <row r="22" spans="1:17" x14ac:dyDescent="0.25">
      <c r="A22" s="117" t="s">
        <v>208</v>
      </c>
      <c r="B22" s="118"/>
      <c r="C22" s="119"/>
      <c r="D22" s="119"/>
      <c r="E22" s="120">
        <f t="shared" ref="E22:P22" si="2">SUM(E6:E21)</f>
        <v>0</v>
      </c>
      <c r="F22" s="120">
        <f t="shared" si="2"/>
        <v>0</v>
      </c>
      <c r="G22" s="120">
        <f t="shared" si="2"/>
        <v>0</v>
      </c>
      <c r="H22" s="120">
        <f t="shared" si="2"/>
        <v>0</v>
      </c>
      <c r="I22" s="120">
        <f t="shared" si="2"/>
        <v>0</v>
      </c>
      <c r="J22" s="120">
        <f t="shared" si="2"/>
        <v>0</v>
      </c>
      <c r="K22" s="120">
        <f t="shared" si="2"/>
        <v>0</v>
      </c>
      <c r="L22" s="120">
        <f t="shared" si="2"/>
        <v>0</v>
      </c>
      <c r="M22" s="120">
        <f t="shared" si="2"/>
        <v>0</v>
      </c>
      <c r="N22" s="120">
        <f t="shared" si="2"/>
        <v>0</v>
      </c>
      <c r="O22" s="120">
        <f t="shared" si="2"/>
        <v>0</v>
      </c>
      <c r="P22" s="120">
        <f t="shared" si="2"/>
        <v>0</v>
      </c>
      <c r="Q22" s="120">
        <f>SUM(E22:P22)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zoomScaleNormal="100" workbookViewId="0">
      <selection activeCell="G4" sqref="G4"/>
    </sheetView>
  </sheetViews>
  <sheetFormatPr defaultRowHeight="15" x14ac:dyDescent="0.25"/>
  <cols>
    <col min="1" max="1" width="33" customWidth="1"/>
    <col min="2" max="2" width="52.85546875" customWidth="1"/>
    <col min="3" max="3" width="16.28515625" customWidth="1"/>
    <col min="4" max="4" width="12.140625" customWidth="1"/>
    <col min="5" max="5" width="15.5703125" customWidth="1"/>
    <col min="6" max="6" width="15.85546875" customWidth="1"/>
    <col min="7" max="7" width="32" customWidth="1"/>
    <col min="8" max="8" width="18.28515625" customWidth="1"/>
  </cols>
  <sheetData>
    <row r="1" spans="1:8" s="194" customFormat="1" x14ac:dyDescent="0.25">
      <c r="A1" s="193" t="s">
        <v>476</v>
      </c>
      <c r="B1" s="193" t="s">
        <v>477</v>
      </c>
      <c r="C1" s="193" t="s">
        <v>478</v>
      </c>
      <c r="D1" s="193" t="s">
        <v>479</v>
      </c>
      <c r="E1" s="193" t="s">
        <v>480</v>
      </c>
      <c r="F1" s="193" t="s">
        <v>481</v>
      </c>
      <c r="G1" s="193" t="s">
        <v>482</v>
      </c>
      <c r="H1" s="193" t="s">
        <v>483</v>
      </c>
    </row>
    <row r="2" spans="1:8" x14ac:dyDescent="0.25">
      <c r="A2" s="195"/>
      <c r="B2" s="196"/>
      <c r="C2" s="196"/>
      <c r="D2" s="196"/>
      <c r="E2" s="197"/>
      <c r="F2" s="197"/>
      <c r="G2" s="198"/>
      <c r="H2" s="199"/>
    </row>
    <row r="3" spans="1:8" ht="26.25" x14ac:dyDescent="0.25">
      <c r="A3" s="192" t="s">
        <v>484</v>
      </c>
      <c r="B3" s="200" t="s">
        <v>485</v>
      </c>
      <c r="C3" s="201" t="s">
        <v>486</v>
      </c>
      <c r="D3" s="201">
        <v>2018</v>
      </c>
      <c r="E3" s="202">
        <v>48000</v>
      </c>
      <c r="F3" s="203" t="s">
        <v>487</v>
      </c>
      <c r="G3" s="204" t="s">
        <v>488</v>
      </c>
      <c r="H3" s="205">
        <v>43191</v>
      </c>
    </row>
    <row r="4" spans="1:8" x14ac:dyDescent="0.25">
      <c r="A4" s="192" t="s">
        <v>475</v>
      </c>
      <c r="B4" s="200" t="s">
        <v>489</v>
      </c>
      <c r="C4" s="201" t="s">
        <v>486</v>
      </c>
      <c r="D4" s="201">
        <v>2017</v>
      </c>
      <c r="E4" s="202">
        <v>75000</v>
      </c>
      <c r="F4" s="203" t="s">
        <v>487</v>
      </c>
      <c r="G4" s="204" t="s">
        <v>490</v>
      </c>
      <c r="H4" s="205">
        <v>42507</v>
      </c>
    </row>
    <row r="5" spans="1:8" x14ac:dyDescent="0.25">
      <c r="A5" s="192" t="s">
        <v>491</v>
      </c>
      <c r="B5" s="200" t="s">
        <v>492</v>
      </c>
      <c r="C5" s="201" t="s">
        <v>493</v>
      </c>
      <c r="D5" s="201">
        <v>2018</v>
      </c>
      <c r="E5" s="202">
        <v>50000</v>
      </c>
      <c r="F5" s="203" t="s">
        <v>487</v>
      </c>
      <c r="G5" s="204" t="s">
        <v>494</v>
      </c>
      <c r="H5" s="205">
        <v>42508</v>
      </c>
    </row>
    <row r="6" spans="1:8" x14ac:dyDescent="0.25">
      <c r="A6" s="192"/>
      <c r="B6" s="200"/>
      <c r="C6" s="201"/>
      <c r="D6" s="201"/>
      <c r="E6" s="202"/>
      <c r="F6" s="203"/>
      <c r="G6" s="204"/>
      <c r="H6" s="205"/>
    </row>
    <row r="7" spans="1:8" x14ac:dyDescent="0.25">
      <c r="A7" s="192"/>
      <c r="B7" s="200"/>
      <c r="C7" s="201"/>
      <c r="D7" s="201"/>
      <c r="E7" s="202"/>
      <c r="F7" s="203"/>
      <c r="G7" s="204"/>
      <c r="H7" s="205"/>
    </row>
    <row r="8" spans="1:8" x14ac:dyDescent="0.25">
      <c r="A8" s="192"/>
      <c r="B8" s="200"/>
      <c r="C8" s="201"/>
      <c r="D8" s="201"/>
      <c r="E8" s="202"/>
      <c r="F8" s="203"/>
      <c r="G8" s="204"/>
      <c r="H8" s="205"/>
    </row>
    <row r="9" spans="1:8" ht="54" customHeight="1" x14ac:dyDescent="0.25">
      <c r="A9" s="192"/>
      <c r="B9" s="200"/>
      <c r="C9" s="201"/>
      <c r="D9" s="201"/>
      <c r="E9" s="202"/>
      <c r="F9" s="203"/>
      <c r="G9" s="204"/>
      <c r="H9" s="205"/>
    </row>
    <row r="10" spans="1:8" x14ac:dyDescent="0.25">
      <c r="A10" s="192"/>
      <c r="B10" s="200"/>
      <c r="C10" s="201"/>
      <c r="D10" s="201"/>
      <c r="E10" s="202"/>
      <c r="F10" s="203"/>
      <c r="G10" s="204"/>
      <c r="H10" s="205"/>
    </row>
    <row r="11" spans="1:8" x14ac:dyDescent="0.25">
      <c r="A11" s="192"/>
      <c r="B11" s="200"/>
      <c r="C11" s="201"/>
      <c r="D11" s="201"/>
      <c r="E11" s="202"/>
      <c r="F11" s="203"/>
      <c r="G11" s="204"/>
      <c r="H11" s="205"/>
    </row>
    <row r="12" spans="1:8" x14ac:dyDescent="0.25">
      <c r="A12" s="192"/>
      <c r="B12" s="200"/>
      <c r="C12" s="201"/>
      <c r="D12" s="201"/>
      <c r="E12" s="202"/>
      <c r="F12" s="203"/>
      <c r="G12" s="204"/>
      <c r="H12" s="205"/>
    </row>
    <row r="13" spans="1:8" x14ac:dyDescent="0.25">
      <c r="A13" s="192"/>
      <c r="B13" s="200"/>
      <c r="C13" s="201"/>
      <c r="D13" s="201"/>
      <c r="E13" s="202"/>
      <c r="F13" s="203"/>
      <c r="G13" s="204"/>
      <c r="H13" s="205"/>
    </row>
    <row r="14" spans="1:8" x14ac:dyDescent="0.25">
      <c r="A14" s="192"/>
      <c r="B14" s="200"/>
      <c r="C14" s="201"/>
      <c r="D14" s="201"/>
      <c r="E14" s="202"/>
      <c r="F14" s="203"/>
      <c r="G14" s="204"/>
      <c r="H14" s="205"/>
    </row>
    <row r="15" spans="1:8" x14ac:dyDescent="0.25">
      <c r="A15" s="192"/>
      <c r="B15" s="200"/>
      <c r="C15" s="201"/>
      <c r="D15" s="201"/>
      <c r="E15" s="202"/>
      <c r="F15" s="203"/>
      <c r="G15" s="204"/>
      <c r="H15" s="205"/>
    </row>
    <row r="16" spans="1:8" x14ac:dyDescent="0.25">
      <c r="A16" s="192"/>
      <c r="B16" s="200"/>
      <c r="C16" s="201"/>
      <c r="D16" s="201"/>
      <c r="E16" s="202"/>
      <c r="F16" s="203"/>
      <c r="G16" s="204"/>
      <c r="H16" s="205"/>
    </row>
    <row r="17" spans="1:8" x14ac:dyDescent="0.25">
      <c r="A17" s="192"/>
      <c r="B17" s="200"/>
      <c r="C17" s="201"/>
      <c r="D17" s="201"/>
      <c r="E17" s="202"/>
      <c r="F17" s="203"/>
      <c r="G17" s="204"/>
      <c r="H17" s="205"/>
    </row>
    <row r="18" spans="1:8" x14ac:dyDescent="0.25">
      <c r="A18" s="192"/>
      <c r="B18" s="200"/>
      <c r="C18" s="201"/>
      <c r="D18" s="201"/>
      <c r="E18" s="202"/>
      <c r="F18" s="203"/>
      <c r="G18" s="204"/>
      <c r="H18" s="205"/>
    </row>
    <row r="19" spans="1:8" x14ac:dyDescent="0.25">
      <c r="A19" s="192"/>
      <c r="B19" s="200"/>
      <c r="C19" s="201"/>
      <c r="D19" s="201"/>
      <c r="E19" s="202"/>
      <c r="F19" s="203"/>
      <c r="G19" s="204"/>
      <c r="H19" s="205"/>
    </row>
    <row r="20" spans="1:8" x14ac:dyDescent="0.25">
      <c r="A20" s="206"/>
      <c r="B20" s="206"/>
      <c r="C20" s="206"/>
      <c r="D20" s="206"/>
      <c r="E20" s="206"/>
      <c r="F20" s="206"/>
      <c r="G20" s="206"/>
      <c r="H20" s="206"/>
    </row>
  </sheetData>
  <pageMargins left="0.7" right="0.7" top="1" bottom="0.75" header="0.3" footer="0.3"/>
  <pageSetup paperSize="5" scale="82" orientation="landscape" r:id="rId1"/>
  <headerFooter>
    <oddHeader>&amp;CWINDSOR CROSSING LONG TERM CAPITAL IMPROVEMENT AND MAINTENANCE PLAN (2016-2019)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Normal="100" workbookViewId="0">
      <selection activeCell="I12" sqref="I12"/>
    </sheetView>
  </sheetViews>
  <sheetFormatPr defaultRowHeight="15" x14ac:dyDescent="0.25"/>
  <cols>
    <col min="2" max="2" width="27.28515625" bestFit="1" customWidth="1"/>
    <col min="3" max="3" width="14.42578125" bestFit="1" customWidth="1"/>
    <col min="4" max="4" width="12.5703125" bestFit="1" customWidth="1"/>
    <col min="5" max="5" width="11.5703125" bestFit="1" customWidth="1"/>
    <col min="6" max="6" width="12" bestFit="1" customWidth="1"/>
  </cols>
  <sheetData>
    <row r="1" spans="1:10" ht="15.75" customHeight="1" x14ac:dyDescent="0.25">
      <c r="A1" s="236" t="s">
        <v>393</v>
      </c>
      <c r="B1" s="236"/>
      <c r="C1" s="236"/>
      <c r="D1" s="236"/>
      <c r="E1" s="236"/>
      <c r="F1" s="236"/>
    </row>
    <row r="2" spans="1:10" ht="15.75" customHeight="1" x14ac:dyDescent="0.25">
      <c r="A2" s="236"/>
      <c r="B2" s="236"/>
      <c r="C2" s="236"/>
      <c r="D2" s="236"/>
      <c r="E2" s="236"/>
      <c r="F2" s="236"/>
    </row>
    <row r="3" spans="1:10" x14ac:dyDescent="0.25">
      <c r="A3" t="s">
        <v>509</v>
      </c>
      <c r="B3" t="s">
        <v>506</v>
      </c>
      <c r="C3" t="s">
        <v>507</v>
      </c>
      <c r="D3" t="s">
        <v>508</v>
      </c>
      <c r="E3" t="s">
        <v>505</v>
      </c>
      <c r="F3" t="s">
        <v>504</v>
      </c>
    </row>
    <row r="4" spans="1:10" x14ac:dyDescent="0.25">
      <c r="A4" s="215" t="s">
        <v>157</v>
      </c>
      <c r="B4" s="213" t="s">
        <v>503</v>
      </c>
      <c r="C4" s="212">
        <v>9740</v>
      </c>
      <c r="D4" s="211">
        <f>C4/$C$8</f>
        <v>0.01</v>
      </c>
      <c r="E4" s="186">
        <f>D4*-$C$11</f>
        <v>-779.2</v>
      </c>
      <c r="F4" s="186">
        <f t="shared" ref="F4:F7" si="0">E4/12</f>
        <v>-64.933333333333337</v>
      </c>
      <c r="I4" s="215"/>
      <c r="J4" s="5"/>
    </row>
    <row r="5" spans="1:10" x14ac:dyDescent="0.25">
      <c r="A5" s="215" t="s">
        <v>158</v>
      </c>
      <c r="B5" s="214" t="s">
        <v>502</v>
      </c>
      <c r="C5" s="186">
        <v>238630</v>
      </c>
      <c r="D5" s="211">
        <f t="shared" ref="D5:D7" si="1">C5/$C$8</f>
        <v>0.245</v>
      </c>
      <c r="E5" s="186">
        <f>D5*-$C$11</f>
        <v>-19090.400000000001</v>
      </c>
      <c r="F5" s="186">
        <f t="shared" si="0"/>
        <v>-1590.8666666666668</v>
      </c>
      <c r="I5" s="215"/>
      <c r="J5" s="5"/>
    </row>
    <row r="6" spans="1:10" x14ac:dyDescent="0.25">
      <c r="A6" s="215" t="s">
        <v>159</v>
      </c>
      <c r="B6" s="214" t="s">
        <v>501</v>
      </c>
      <c r="C6" s="186">
        <v>238630</v>
      </c>
      <c r="D6" s="211">
        <f t="shared" si="1"/>
        <v>0.245</v>
      </c>
      <c r="E6" s="186">
        <f>D6*-$C$11</f>
        <v>-19090.400000000001</v>
      </c>
      <c r="F6" s="186">
        <f t="shared" si="0"/>
        <v>-1590.8666666666668</v>
      </c>
      <c r="I6" s="215"/>
      <c r="J6" s="5"/>
    </row>
    <row r="7" spans="1:10" x14ac:dyDescent="0.25">
      <c r="A7" s="229" t="s">
        <v>534</v>
      </c>
      <c r="B7" s="214" t="s">
        <v>536</v>
      </c>
      <c r="C7" s="212">
        <v>487000</v>
      </c>
      <c r="D7" s="211">
        <f t="shared" si="1"/>
        <v>0.5</v>
      </c>
      <c r="E7" s="186">
        <f>D7*-$C$11</f>
        <v>-38960</v>
      </c>
      <c r="F7" s="186">
        <f t="shared" si="0"/>
        <v>-3246.6666666666665</v>
      </c>
      <c r="I7" s="215"/>
      <c r="J7" s="5"/>
    </row>
    <row r="8" spans="1:10" x14ac:dyDescent="0.25">
      <c r="B8" s="210" t="s">
        <v>500</v>
      </c>
      <c r="C8" s="209">
        <f>SUM(C4:C7)</f>
        <v>974000</v>
      </c>
      <c r="D8" s="208">
        <v>1</v>
      </c>
      <c r="E8" s="207">
        <f>SUM(E4:E7)</f>
        <v>-77920</v>
      </c>
      <c r="F8" s="207">
        <f>SUM(F4:F7)</f>
        <v>-6493.3333333333339</v>
      </c>
    </row>
    <row r="11" spans="1:10" x14ac:dyDescent="0.25">
      <c r="B11" t="s">
        <v>499</v>
      </c>
      <c r="C11" s="186">
        <f>C8*0.08</f>
        <v>77920</v>
      </c>
    </row>
  </sheetData>
  <mergeCells count="1">
    <mergeCell ref="A1:F2"/>
  </mergeCells>
  <pageMargins left="0.7" right="0.7" top="0.75" bottom="0.75" header="0.3" footer="0.3"/>
  <pageSetup scale="94" orientation="portrait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cf</vt:lpstr>
      <vt:lpstr>Op Budget 2016</vt:lpstr>
      <vt:lpstr>2017 Projected</vt:lpstr>
      <vt:lpstr>Min Rent 2017</vt:lpstr>
      <vt:lpstr>CAM est 2017</vt:lpstr>
      <vt:lpstr>RETaxes 2017</vt:lpstr>
      <vt:lpstr>Ins 2016</vt:lpstr>
      <vt:lpstr>CapEx 2016</vt:lpstr>
      <vt:lpstr>Distributions</vt:lpstr>
      <vt:lpstr>People's Loan</vt:lpstr>
      <vt:lpstr>Assumptions</vt:lpstr>
      <vt:lpstr>Broker's Comm</vt:lpstr>
      <vt:lpstr>'2017 Projected'!Print_Area</vt:lpstr>
      <vt:lpstr>Distributions!Print_Area</vt:lpstr>
      <vt:lpstr>'2017 Projected'!Print_Titles</vt:lpstr>
      <vt:lpstr>cf!Print_Titles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Wong</dc:creator>
  <cp:lastModifiedBy>Simon Wong</cp:lastModifiedBy>
  <cp:lastPrinted>2016-10-13T18:59:17Z</cp:lastPrinted>
  <dcterms:created xsi:type="dcterms:W3CDTF">2016-04-01T21:07:40Z</dcterms:created>
  <dcterms:modified xsi:type="dcterms:W3CDTF">2016-10-21T20:54:00Z</dcterms:modified>
</cp:coreProperties>
</file>