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2960" windowHeight="10890" tabRatio="839" firstSheet="1" activeTab="2"/>
  </bookViews>
  <sheets>
    <sheet name="Summary" sheetId="2" r:id="rId1"/>
    <sheet name="Op Budget 2015" sheetId="1" r:id="rId2"/>
    <sheet name="Op Budget 2016" sheetId="3" r:id="rId3"/>
    <sheet name="Assumptions" sheetId="4" r:id="rId4"/>
    <sheet name="2015 Dev Costs" sheetId="13" r:id="rId5"/>
    <sheet name="Broker's Comm" sheetId="14" r:id="rId6"/>
    <sheet name="Min Rent 2015" sheetId="5" r:id="rId7"/>
    <sheet name="CAM 2015" sheetId="6" r:id="rId8"/>
    <sheet name="RETaxes 2015" sheetId="7" r:id="rId9"/>
    <sheet name="Ins 2015" sheetId="8" r:id="rId10"/>
    <sheet name="Min Rent 2016" sheetId="9" r:id="rId11"/>
    <sheet name="CAM 2016" sheetId="10" r:id="rId12"/>
    <sheet name="RETaxes 2016" sheetId="11" r:id="rId13"/>
    <sheet name="Ins 2016" sheetId="1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1" l="1"/>
  <c r="M11" i="11"/>
  <c r="I13" i="10"/>
  <c r="M11" i="9"/>
  <c r="I13" i="9"/>
  <c r="V12" i="14"/>
  <c r="E92" i="14"/>
  <c r="E91" i="14"/>
  <c r="E90" i="14"/>
  <c r="E73" i="14"/>
  <c r="E72" i="14"/>
  <c r="E71" i="14"/>
  <c r="I71" i="3" l="1"/>
  <c r="Q71" i="3"/>
  <c r="F69" i="3" l="1"/>
  <c r="G69" i="3"/>
  <c r="H69" i="3"/>
  <c r="I69" i="3"/>
  <c r="J69" i="3"/>
  <c r="K69" i="3"/>
  <c r="M69" i="3"/>
  <c r="N69" i="3"/>
  <c r="E69" i="3"/>
  <c r="J73" i="3"/>
  <c r="H73" i="3"/>
  <c r="I73" i="3"/>
  <c r="Q73" i="3" l="1"/>
  <c r="V11" i="14"/>
  <c r="T11" i="14"/>
  <c r="U10" i="14"/>
  <c r="D54" i="14"/>
  <c r="D53" i="14"/>
  <c r="Q12" i="3" l="1"/>
  <c r="B80" i="14"/>
  <c r="B81" i="14" s="1"/>
  <c r="B82" i="14" s="1"/>
  <c r="B83" i="14" s="1"/>
  <c r="B84" i="14" s="1"/>
  <c r="B61" i="14"/>
  <c r="B62" i="14" s="1"/>
  <c r="B63" i="14" s="1"/>
  <c r="B64" i="14" s="1"/>
  <c r="B65" i="14" s="1"/>
  <c r="B66" i="14" s="1"/>
  <c r="B68" i="14" s="1"/>
  <c r="B49" i="14"/>
  <c r="B51" i="14" s="1"/>
  <c r="D72" i="14" l="1"/>
  <c r="D70" i="14"/>
  <c r="P11" i="14" s="1"/>
  <c r="D71" i="14"/>
  <c r="D73" i="14"/>
  <c r="B85" i="14"/>
  <c r="B87" i="14" s="1"/>
  <c r="P30" i="4"/>
  <c r="P31" i="4"/>
  <c r="P29" i="4"/>
  <c r="P21" i="4"/>
  <c r="P20" i="4"/>
  <c r="D91" i="14" l="1"/>
  <c r="D89" i="14"/>
  <c r="D90" i="14"/>
  <c r="D92" i="14"/>
  <c r="W11" i="14"/>
  <c r="P9" i="4" l="1"/>
  <c r="F53" i="3" l="1"/>
  <c r="G53" i="3"/>
  <c r="H53" i="3"/>
  <c r="I53" i="3"/>
  <c r="J53" i="3"/>
  <c r="K53" i="3"/>
  <c r="L53" i="3"/>
  <c r="M53" i="3"/>
  <c r="N53" i="3"/>
  <c r="O53" i="3"/>
  <c r="P53" i="3"/>
  <c r="E53" i="3"/>
  <c r="F51" i="3"/>
  <c r="G51" i="3"/>
  <c r="H51" i="3"/>
  <c r="I51" i="3"/>
  <c r="J51" i="3"/>
  <c r="K51" i="3"/>
  <c r="L51" i="3"/>
  <c r="M51" i="3"/>
  <c r="N51" i="3"/>
  <c r="O51" i="3"/>
  <c r="P51" i="3"/>
  <c r="E51" i="3"/>
  <c r="B33" i="14"/>
  <c r="B25" i="14"/>
  <c r="B24" i="14"/>
  <c r="Q14" i="14"/>
  <c r="N14" i="14"/>
  <c r="M14" i="14"/>
  <c r="L14" i="14"/>
  <c r="K14" i="14"/>
  <c r="D12" i="14"/>
  <c r="V14" i="14"/>
  <c r="P69" i="3" s="1"/>
  <c r="S14" i="14"/>
  <c r="P14" i="14"/>
  <c r="D11" i="14"/>
  <c r="T14" i="14"/>
  <c r="R14" i="14"/>
  <c r="L69" i="3" s="1"/>
  <c r="O10" i="14"/>
  <c r="O14" i="14" s="1"/>
  <c r="D10" i="14"/>
  <c r="W9" i="14"/>
  <c r="D9" i="14"/>
  <c r="W8" i="14"/>
  <c r="D8" i="14"/>
  <c r="W7" i="14"/>
  <c r="D6" i="14"/>
  <c r="D5" i="14"/>
  <c r="D4" i="14"/>
  <c r="D3" i="14"/>
  <c r="D2" i="14"/>
  <c r="F40" i="3"/>
  <c r="G40" i="3"/>
  <c r="H40" i="3"/>
  <c r="I40" i="3"/>
  <c r="J40" i="3"/>
  <c r="K40" i="3"/>
  <c r="L40" i="3"/>
  <c r="M40" i="3"/>
  <c r="N40" i="3"/>
  <c r="O40" i="3"/>
  <c r="P40" i="3"/>
  <c r="E40" i="3"/>
  <c r="F31" i="3"/>
  <c r="G31" i="3"/>
  <c r="H31" i="3"/>
  <c r="I31" i="3"/>
  <c r="J31" i="3"/>
  <c r="K31" i="3"/>
  <c r="L31" i="3"/>
  <c r="M31" i="3"/>
  <c r="N31" i="3"/>
  <c r="O31" i="3"/>
  <c r="P31" i="3"/>
  <c r="E31" i="3"/>
  <c r="F17" i="3"/>
  <c r="G17" i="3"/>
  <c r="H17" i="3"/>
  <c r="E17" i="3"/>
  <c r="B11" i="4"/>
  <c r="F65" i="3" s="1"/>
  <c r="B26" i="14" l="1"/>
  <c r="B28" i="14" s="1"/>
  <c r="D14" i="14"/>
  <c r="D15" i="14" s="1"/>
  <c r="D16" i="14" s="1"/>
  <c r="U14" i="14"/>
  <c r="O69" i="3" s="1"/>
  <c r="Q69" i="3" s="1"/>
  <c r="E65" i="3"/>
  <c r="G65" i="3"/>
  <c r="D18" i="14"/>
  <c r="D19" i="14"/>
  <c r="W10" i="14"/>
  <c r="W12" i="14"/>
  <c r="O78" i="13"/>
  <c r="M78" i="13"/>
  <c r="P72" i="13"/>
  <c r="P68" i="13"/>
  <c r="O62" i="13"/>
  <c r="N62" i="13"/>
  <c r="L62" i="13"/>
  <c r="K62" i="13"/>
  <c r="J62" i="13"/>
  <c r="I62" i="13"/>
  <c r="H62" i="13"/>
  <c r="G62" i="13"/>
  <c r="F62" i="13"/>
  <c r="E62" i="13"/>
  <c r="D62" i="13"/>
  <c r="C62" i="13"/>
  <c r="C67" i="13" s="1"/>
  <c r="B62" i="13"/>
  <c r="Q60" i="13"/>
  <c r="P60" i="13"/>
  <c r="P59" i="13"/>
  <c r="P58" i="13"/>
  <c r="Q58" i="13" s="1"/>
  <c r="P56" i="13"/>
  <c r="Q56" i="13" s="1"/>
  <c r="P55" i="13"/>
  <c r="Q55" i="13" s="1"/>
  <c r="P54" i="13"/>
  <c r="Q54" i="13" s="1"/>
  <c r="P53" i="13"/>
  <c r="S62" i="13" s="1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B67" i="13" s="1"/>
  <c r="P46" i="13"/>
  <c r="Q46" i="13" s="1"/>
  <c r="P45" i="13"/>
  <c r="Q45" i="13" s="1"/>
  <c r="P44" i="13"/>
  <c r="Q44" i="13" s="1"/>
  <c r="P43" i="13"/>
  <c r="Q43" i="13" s="1"/>
  <c r="P42" i="13"/>
  <c r="Q42" i="13" s="1"/>
  <c r="P41" i="13"/>
  <c r="Q41" i="13" s="1"/>
  <c r="P40" i="13"/>
  <c r="Q39" i="13"/>
  <c r="P39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P36" i="13" s="1"/>
  <c r="C36" i="13"/>
  <c r="Q36" i="13" s="1"/>
  <c r="B36" i="13"/>
  <c r="P34" i="13"/>
  <c r="P33" i="13"/>
  <c r="Q33" i="13" s="1"/>
  <c r="O31" i="13"/>
  <c r="N31" i="13"/>
  <c r="M31" i="13"/>
  <c r="L31" i="13"/>
  <c r="K31" i="13"/>
  <c r="J31" i="13"/>
  <c r="I31" i="13"/>
  <c r="H31" i="13"/>
  <c r="G31" i="13"/>
  <c r="F31" i="13"/>
  <c r="E31" i="13"/>
  <c r="D31" i="13"/>
  <c r="P31" i="13" s="1"/>
  <c r="C31" i="13"/>
  <c r="Q31" i="13" s="1"/>
  <c r="B31" i="13"/>
  <c r="Q29" i="13"/>
  <c r="P29" i="13"/>
  <c r="Q28" i="13"/>
  <c r="P28" i="13"/>
  <c r="Q25" i="13"/>
  <c r="P25" i="13"/>
  <c r="Q23" i="13"/>
  <c r="P23" i="13"/>
  <c r="Q22" i="13"/>
  <c r="P22" i="13"/>
  <c r="Q21" i="13"/>
  <c r="P21" i="13"/>
  <c r="S31" i="13" s="1"/>
  <c r="O12" i="13"/>
  <c r="N12" i="13"/>
  <c r="M12" i="13"/>
  <c r="L12" i="13"/>
  <c r="K12" i="13"/>
  <c r="J12" i="13"/>
  <c r="I12" i="13"/>
  <c r="H12" i="13"/>
  <c r="G12" i="13"/>
  <c r="F12" i="13"/>
  <c r="E12" i="13"/>
  <c r="D13" i="10"/>
  <c r="D12" i="10"/>
  <c r="D11" i="10"/>
  <c r="D10" i="10"/>
  <c r="D9" i="10"/>
  <c r="Q9" i="10"/>
  <c r="Q11" i="10"/>
  <c r="Q12" i="10"/>
  <c r="Q13" i="10"/>
  <c r="Q10" i="10"/>
  <c r="D17" i="14" l="1"/>
  <c r="W14" i="14"/>
  <c r="D67" i="13"/>
  <c r="F67" i="13"/>
  <c r="H67" i="13"/>
  <c r="J67" i="13"/>
  <c r="L67" i="13"/>
  <c r="N67" i="13"/>
  <c r="P73" i="13"/>
  <c r="E67" i="13"/>
  <c r="E70" i="13" s="1"/>
  <c r="G67" i="13"/>
  <c r="G70" i="13" s="1"/>
  <c r="I67" i="13"/>
  <c r="I70" i="13" s="1"/>
  <c r="K67" i="13"/>
  <c r="K70" i="13" s="1"/>
  <c r="M62" i="13"/>
  <c r="M67" i="13" s="1"/>
  <c r="M70" i="13" s="1"/>
  <c r="M76" i="13" s="1"/>
  <c r="M79" i="13" s="1"/>
  <c r="N78" i="13" s="1"/>
  <c r="O67" i="13"/>
  <c r="O70" i="13" s="1"/>
  <c r="O76" i="13" s="1"/>
  <c r="P6" i="13"/>
  <c r="P7" i="13"/>
  <c r="P8" i="13"/>
  <c r="P9" i="13"/>
  <c r="P17" i="13"/>
  <c r="F70" i="13"/>
  <c r="H70" i="13"/>
  <c r="J70" i="13"/>
  <c r="L70" i="13"/>
  <c r="N70" i="13"/>
  <c r="N76" i="13" s="1"/>
  <c r="D12" i="13"/>
  <c r="P48" i="13"/>
  <c r="S48" i="13"/>
  <c r="Q53" i="13"/>
  <c r="P62" i="13" l="1"/>
  <c r="Q62" i="13" s="1"/>
  <c r="P67" i="13"/>
  <c r="R12" i="13"/>
  <c r="S67" i="13"/>
  <c r="D70" i="13"/>
  <c r="S70" i="13" s="1"/>
  <c r="P12" i="13"/>
  <c r="P70" i="13" s="1"/>
  <c r="Q48" i="13"/>
  <c r="Q67" i="13"/>
  <c r="L16" i="8" l="1"/>
  <c r="L16" i="7"/>
  <c r="L16" i="6"/>
  <c r="L16" i="5"/>
  <c r="C15" i="12" l="1"/>
  <c r="C15" i="11"/>
  <c r="C15" i="10"/>
  <c r="C15" i="9"/>
  <c r="C15" i="8"/>
  <c r="C15" i="7"/>
  <c r="C15" i="6"/>
  <c r="C15" i="5"/>
  <c r="G60" i="3" s="1"/>
  <c r="Q70" i="1"/>
  <c r="B22" i="2"/>
  <c r="Q62" i="1"/>
  <c r="B13" i="2"/>
  <c r="E80" i="3"/>
  <c r="C21" i="2" s="1"/>
  <c r="G21" i="2" s="1"/>
  <c r="F78" i="3"/>
  <c r="G78" i="3"/>
  <c r="H78" i="3"/>
  <c r="I78" i="3"/>
  <c r="J78" i="3"/>
  <c r="K78" i="3"/>
  <c r="L78" i="3"/>
  <c r="M78" i="3"/>
  <c r="N78" i="3"/>
  <c r="O78" i="3"/>
  <c r="P78" i="3"/>
  <c r="E78" i="3"/>
  <c r="F75" i="3"/>
  <c r="G75" i="3"/>
  <c r="H75" i="3"/>
  <c r="I75" i="3"/>
  <c r="J75" i="3"/>
  <c r="K75" i="3"/>
  <c r="L75" i="3"/>
  <c r="M75" i="3"/>
  <c r="N75" i="3"/>
  <c r="O75" i="3"/>
  <c r="P75" i="3"/>
  <c r="E75" i="3"/>
  <c r="F56" i="1"/>
  <c r="G56" i="1"/>
  <c r="H56" i="1"/>
  <c r="I56" i="1"/>
  <c r="J56" i="1"/>
  <c r="K56" i="1"/>
  <c r="L56" i="1"/>
  <c r="M56" i="1"/>
  <c r="N56" i="1"/>
  <c r="O56" i="1"/>
  <c r="P56" i="1"/>
  <c r="E56" i="1"/>
  <c r="F49" i="3"/>
  <c r="G49" i="3"/>
  <c r="H49" i="3"/>
  <c r="I49" i="3"/>
  <c r="J49" i="3"/>
  <c r="K49" i="3"/>
  <c r="L49" i="3"/>
  <c r="M49" i="3"/>
  <c r="N49" i="3"/>
  <c r="O49" i="3"/>
  <c r="P49" i="3"/>
  <c r="E49" i="3"/>
  <c r="F44" i="3"/>
  <c r="G44" i="3"/>
  <c r="H44" i="3"/>
  <c r="I44" i="3"/>
  <c r="J44" i="3"/>
  <c r="K44" i="3"/>
  <c r="L44" i="3"/>
  <c r="M44" i="3"/>
  <c r="N44" i="3"/>
  <c r="O44" i="3"/>
  <c r="P44" i="3"/>
  <c r="E44" i="3"/>
  <c r="F47" i="3"/>
  <c r="G47" i="3"/>
  <c r="H47" i="3"/>
  <c r="I47" i="3"/>
  <c r="J47" i="3"/>
  <c r="K47" i="3"/>
  <c r="L47" i="3"/>
  <c r="M47" i="3"/>
  <c r="N47" i="3"/>
  <c r="O47" i="3"/>
  <c r="P47" i="3"/>
  <c r="E47" i="3"/>
  <c r="F19" i="2" l="1"/>
  <c r="D19" i="2"/>
  <c r="C19" i="2"/>
  <c r="E19" i="2"/>
  <c r="Q78" i="3"/>
  <c r="Q75" i="3"/>
  <c r="P60" i="3"/>
  <c r="N60" i="3"/>
  <c r="L60" i="3"/>
  <c r="J60" i="3"/>
  <c r="H60" i="3"/>
  <c r="F60" i="3"/>
  <c r="E60" i="3"/>
  <c r="O60" i="3"/>
  <c r="M60" i="3"/>
  <c r="K60" i="3"/>
  <c r="I60" i="3"/>
  <c r="G19" i="2" l="1"/>
  <c r="E13" i="2"/>
  <c r="F13" i="2"/>
  <c r="C13" i="2"/>
  <c r="D13" i="2"/>
  <c r="F28" i="3"/>
  <c r="G28" i="3"/>
  <c r="I28" i="3"/>
  <c r="J28" i="3"/>
  <c r="L28" i="3"/>
  <c r="M28" i="3"/>
  <c r="O28" i="3"/>
  <c r="P28" i="3"/>
  <c r="F20" i="3"/>
  <c r="G20" i="3"/>
  <c r="H20" i="3"/>
  <c r="I20" i="3"/>
  <c r="J20" i="3"/>
  <c r="K20" i="3"/>
  <c r="L20" i="3"/>
  <c r="M20" i="3"/>
  <c r="N20" i="3"/>
  <c r="O20" i="3"/>
  <c r="P20" i="3"/>
  <c r="E20" i="3"/>
  <c r="F16" i="3"/>
  <c r="G16" i="3"/>
  <c r="H16" i="3"/>
  <c r="I16" i="3"/>
  <c r="J16" i="3"/>
  <c r="K16" i="3"/>
  <c r="L16" i="3"/>
  <c r="M16" i="3"/>
  <c r="N16" i="3"/>
  <c r="O16" i="3"/>
  <c r="P16" i="3"/>
  <c r="E16" i="3"/>
  <c r="Q21" i="3"/>
  <c r="Q22" i="3"/>
  <c r="Q23" i="3"/>
  <c r="Q24" i="3"/>
  <c r="Q25" i="3"/>
  <c r="Q26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R18" i="3"/>
  <c r="R20" i="3"/>
  <c r="R24" i="3"/>
  <c r="R30" i="3"/>
  <c r="R32" i="3"/>
  <c r="R38" i="3"/>
  <c r="R40" i="3"/>
  <c r="R46" i="3"/>
  <c r="R50" i="3"/>
  <c r="R52" i="3"/>
  <c r="F15" i="3"/>
  <c r="G15" i="3"/>
  <c r="E15" i="3"/>
  <c r="Q8" i="3"/>
  <c r="D7" i="10"/>
  <c r="D8" i="10"/>
  <c r="D6" i="10"/>
  <c r="D7" i="9"/>
  <c r="D8" i="9"/>
  <c r="D9" i="9"/>
  <c r="D10" i="9"/>
  <c r="D11" i="9"/>
  <c r="D12" i="9"/>
  <c r="D13" i="9"/>
  <c r="D6" i="9"/>
  <c r="L16" i="12"/>
  <c r="M7" i="3" s="1"/>
  <c r="M16" i="11"/>
  <c r="M6" i="3" s="1"/>
  <c r="M16" i="10"/>
  <c r="M5" i="3" s="1"/>
  <c r="M16" i="9"/>
  <c r="M4" i="3" s="1"/>
  <c r="O16" i="12"/>
  <c r="P7" i="3" s="1"/>
  <c r="N16" i="12"/>
  <c r="O7" i="3" s="1"/>
  <c r="M16" i="12"/>
  <c r="N7" i="3" s="1"/>
  <c r="K16" i="12"/>
  <c r="L7" i="3" s="1"/>
  <c r="J16" i="12"/>
  <c r="K7" i="3" s="1"/>
  <c r="I16" i="12"/>
  <c r="J7" i="3" s="1"/>
  <c r="H16" i="12"/>
  <c r="I7" i="3" s="1"/>
  <c r="G16" i="12"/>
  <c r="H7" i="3" s="1"/>
  <c r="F16" i="12"/>
  <c r="G7" i="3" s="1"/>
  <c r="E16" i="12"/>
  <c r="F7" i="3" s="1"/>
  <c r="D16" i="12"/>
  <c r="P13" i="12"/>
  <c r="P12" i="12"/>
  <c r="P11" i="12"/>
  <c r="P10" i="12"/>
  <c r="P9" i="12"/>
  <c r="P8" i="12"/>
  <c r="P7" i="12"/>
  <c r="P6" i="12"/>
  <c r="P16" i="11"/>
  <c r="P6" i="3" s="1"/>
  <c r="O16" i="11"/>
  <c r="O6" i="3" s="1"/>
  <c r="N16" i="11"/>
  <c r="N6" i="3" s="1"/>
  <c r="L16" i="11"/>
  <c r="L6" i="3" s="1"/>
  <c r="K16" i="11"/>
  <c r="K6" i="3" s="1"/>
  <c r="J16" i="11"/>
  <c r="J6" i="3" s="1"/>
  <c r="I16" i="11"/>
  <c r="I6" i="3" s="1"/>
  <c r="H16" i="11"/>
  <c r="H6" i="3" s="1"/>
  <c r="G16" i="11"/>
  <c r="G6" i="3" s="1"/>
  <c r="F16" i="11"/>
  <c r="F6" i="3" s="1"/>
  <c r="E16" i="11"/>
  <c r="E6" i="3" s="1"/>
  <c r="Q13" i="11"/>
  <c r="D13" i="11" s="1"/>
  <c r="Q12" i="11"/>
  <c r="D12" i="11" s="1"/>
  <c r="Q11" i="11"/>
  <c r="D11" i="11" s="1"/>
  <c r="Q10" i="11"/>
  <c r="D10" i="11" s="1"/>
  <c r="Q9" i="11"/>
  <c r="D9" i="11" s="1"/>
  <c r="Q8" i="11"/>
  <c r="D8" i="11" s="1"/>
  <c r="Q7" i="11"/>
  <c r="D7" i="11" s="1"/>
  <c r="Q6" i="11"/>
  <c r="D6" i="11" s="1"/>
  <c r="P16" i="10"/>
  <c r="P5" i="3" s="1"/>
  <c r="O16" i="10"/>
  <c r="O5" i="3" s="1"/>
  <c r="N16" i="10"/>
  <c r="N5" i="3" s="1"/>
  <c r="L16" i="10"/>
  <c r="L5" i="3" s="1"/>
  <c r="K16" i="10"/>
  <c r="K5" i="3" s="1"/>
  <c r="J16" i="10"/>
  <c r="J5" i="3" s="1"/>
  <c r="I16" i="10"/>
  <c r="I5" i="3" s="1"/>
  <c r="H16" i="10"/>
  <c r="H5" i="3" s="1"/>
  <c r="G16" i="10"/>
  <c r="G5" i="3" s="1"/>
  <c r="F16" i="10"/>
  <c r="F5" i="3" s="1"/>
  <c r="E16" i="10"/>
  <c r="E5" i="3" s="1"/>
  <c r="Q8" i="10"/>
  <c r="Q7" i="10"/>
  <c r="Q6" i="10"/>
  <c r="P16" i="9"/>
  <c r="P4" i="3" s="1"/>
  <c r="O16" i="9"/>
  <c r="O4" i="3" s="1"/>
  <c r="N16" i="9"/>
  <c r="N4" i="3" s="1"/>
  <c r="L16" i="9"/>
  <c r="L4" i="3" s="1"/>
  <c r="K16" i="9"/>
  <c r="K4" i="3" s="1"/>
  <c r="J16" i="9"/>
  <c r="J4" i="3" s="1"/>
  <c r="I16" i="9"/>
  <c r="I4" i="3" s="1"/>
  <c r="H16" i="9"/>
  <c r="H4" i="3" s="1"/>
  <c r="G16" i="9"/>
  <c r="G4" i="3" s="1"/>
  <c r="F16" i="9"/>
  <c r="F4" i="3" s="1"/>
  <c r="E16" i="9"/>
  <c r="E4" i="3" s="1"/>
  <c r="Q13" i="9"/>
  <c r="Q12" i="9"/>
  <c r="Q11" i="9"/>
  <c r="Q10" i="9"/>
  <c r="Q9" i="9"/>
  <c r="Q8" i="9"/>
  <c r="Q7" i="9"/>
  <c r="Q6" i="9"/>
  <c r="O72" i="1"/>
  <c r="P72" i="1"/>
  <c r="N72" i="1"/>
  <c r="Q67" i="1"/>
  <c r="B19" i="2" s="1"/>
  <c r="Q63" i="1"/>
  <c r="B17" i="2" s="1"/>
  <c r="Q58" i="1"/>
  <c r="Q56" i="1"/>
  <c r="E18" i="3"/>
  <c r="D46" i="3"/>
  <c r="D50" i="3"/>
  <c r="D52" i="3"/>
  <c r="M7" i="1"/>
  <c r="O16" i="8"/>
  <c r="P7" i="1" s="1"/>
  <c r="N16" i="8"/>
  <c r="O7" i="1" s="1"/>
  <c r="M16" i="8"/>
  <c r="N7" i="1" s="1"/>
  <c r="K16" i="8"/>
  <c r="L7" i="1" s="1"/>
  <c r="J16" i="8"/>
  <c r="K7" i="1" s="1"/>
  <c r="I16" i="8"/>
  <c r="J7" i="1" s="1"/>
  <c r="H16" i="8"/>
  <c r="I7" i="1" s="1"/>
  <c r="G16" i="8"/>
  <c r="H7" i="1" s="1"/>
  <c r="F16" i="8"/>
  <c r="G7" i="1" s="1"/>
  <c r="E16" i="8"/>
  <c r="F7" i="1" s="1"/>
  <c r="D16" i="8"/>
  <c r="E7" i="1" s="1"/>
  <c r="P13" i="8"/>
  <c r="P12" i="8"/>
  <c r="P11" i="8"/>
  <c r="P10" i="8"/>
  <c r="P9" i="8"/>
  <c r="P8" i="8"/>
  <c r="P7" i="8"/>
  <c r="P6" i="8"/>
  <c r="M6" i="1"/>
  <c r="O16" i="7"/>
  <c r="P6" i="1" s="1"/>
  <c r="N16" i="7"/>
  <c r="O6" i="1" s="1"/>
  <c r="M16" i="7"/>
  <c r="N6" i="1" s="1"/>
  <c r="K16" i="7"/>
  <c r="L6" i="1" s="1"/>
  <c r="J16" i="7"/>
  <c r="K6" i="1" s="1"/>
  <c r="I16" i="7"/>
  <c r="J6" i="1" s="1"/>
  <c r="H16" i="7"/>
  <c r="I6" i="1" s="1"/>
  <c r="G16" i="7"/>
  <c r="H6" i="1" s="1"/>
  <c r="F16" i="7"/>
  <c r="G6" i="1" s="1"/>
  <c r="E16" i="7"/>
  <c r="F6" i="1" s="1"/>
  <c r="D16" i="7"/>
  <c r="E6" i="1" s="1"/>
  <c r="P13" i="7"/>
  <c r="P12" i="7"/>
  <c r="P11" i="7"/>
  <c r="P10" i="7"/>
  <c r="P9" i="7"/>
  <c r="P8" i="7"/>
  <c r="P7" i="7"/>
  <c r="P6" i="7"/>
  <c r="M5" i="1"/>
  <c r="O16" i="6"/>
  <c r="P5" i="1" s="1"/>
  <c r="N16" i="6"/>
  <c r="O5" i="1" s="1"/>
  <c r="M16" i="6"/>
  <c r="N5" i="1" s="1"/>
  <c r="K16" i="6"/>
  <c r="L5" i="1" s="1"/>
  <c r="J16" i="6"/>
  <c r="K5" i="1" s="1"/>
  <c r="I16" i="6"/>
  <c r="J5" i="1" s="1"/>
  <c r="H16" i="6"/>
  <c r="I5" i="1" s="1"/>
  <c r="G16" i="6"/>
  <c r="H5" i="1" s="1"/>
  <c r="F16" i="6"/>
  <c r="G5" i="1" s="1"/>
  <c r="E16" i="6"/>
  <c r="F5" i="1" s="1"/>
  <c r="D16" i="6"/>
  <c r="E5" i="1" s="1"/>
  <c r="P13" i="6"/>
  <c r="P12" i="6"/>
  <c r="P11" i="6"/>
  <c r="P10" i="6"/>
  <c r="P9" i="6"/>
  <c r="P8" i="6"/>
  <c r="P7" i="6"/>
  <c r="P6" i="6"/>
  <c r="Q8" i="1"/>
  <c r="Q14" i="1"/>
  <c r="R16" i="3" s="1"/>
  <c r="Q15" i="1"/>
  <c r="R17" i="3" s="1"/>
  <c r="Q16" i="1"/>
  <c r="Q17" i="1"/>
  <c r="R19" i="3" s="1"/>
  <c r="Q18" i="1"/>
  <c r="Q19" i="1"/>
  <c r="R21" i="3" s="1"/>
  <c r="Q20" i="1"/>
  <c r="R22" i="3" s="1"/>
  <c r="Q21" i="1"/>
  <c r="R23" i="3" s="1"/>
  <c r="Q22" i="1"/>
  <c r="Q23" i="1"/>
  <c r="R25" i="3" s="1"/>
  <c r="Q24" i="1"/>
  <c r="R26" i="3" s="1"/>
  <c r="Q25" i="1"/>
  <c r="R27" i="3" s="1"/>
  <c r="Q26" i="1"/>
  <c r="R28" i="3" s="1"/>
  <c r="Q27" i="1"/>
  <c r="R29" i="3" s="1"/>
  <c r="Q28" i="1"/>
  <c r="D30" i="3" s="1"/>
  <c r="Q29" i="1"/>
  <c r="R31" i="3" s="1"/>
  <c r="Q30" i="1"/>
  <c r="D32" i="3" s="1"/>
  <c r="Q31" i="1"/>
  <c r="R33" i="3" s="1"/>
  <c r="Q32" i="1"/>
  <c r="Q33" i="1"/>
  <c r="R35" i="3" s="1"/>
  <c r="Q34" i="1"/>
  <c r="Q35" i="1"/>
  <c r="R37" i="3" s="1"/>
  <c r="Q36" i="1"/>
  <c r="D38" i="3" s="1"/>
  <c r="Q37" i="1"/>
  <c r="R39" i="3" s="1"/>
  <c r="Q38" i="1"/>
  <c r="Q39" i="1"/>
  <c r="R41" i="3" s="1"/>
  <c r="Q40" i="1"/>
  <c r="D42" i="3" s="1"/>
  <c r="Q41" i="1"/>
  <c r="R43" i="3" s="1"/>
  <c r="Q42" i="1"/>
  <c r="R44" i="3" s="1"/>
  <c r="Q43" i="1"/>
  <c r="R45" i="3" s="1"/>
  <c r="Q44" i="1"/>
  <c r="Q45" i="1"/>
  <c r="R47" i="3" s="1"/>
  <c r="Q46" i="1"/>
  <c r="D48" i="3" s="1"/>
  <c r="Q47" i="1"/>
  <c r="R49" i="3" s="1"/>
  <c r="Q48" i="1"/>
  <c r="Q49" i="1"/>
  <c r="R51" i="3" s="1"/>
  <c r="Q50" i="1"/>
  <c r="Q51" i="1"/>
  <c r="R53" i="3" s="1"/>
  <c r="Q52" i="1"/>
  <c r="D54" i="3" s="1"/>
  <c r="Q13" i="1"/>
  <c r="R15" i="3" s="1"/>
  <c r="F54" i="1"/>
  <c r="G54" i="1"/>
  <c r="H54" i="1"/>
  <c r="I54" i="1"/>
  <c r="J54" i="1"/>
  <c r="K54" i="1"/>
  <c r="L54" i="1"/>
  <c r="E54" i="1"/>
  <c r="N54" i="1"/>
  <c r="O54" i="1"/>
  <c r="P54" i="1"/>
  <c r="M54" i="1"/>
  <c r="M4" i="1"/>
  <c r="J16" i="5"/>
  <c r="K4" i="1" s="1"/>
  <c r="K16" i="5"/>
  <c r="L4" i="1" s="1"/>
  <c r="E16" i="5"/>
  <c r="F4" i="1" s="1"/>
  <c r="F16" i="5"/>
  <c r="G4" i="1" s="1"/>
  <c r="G16" i="5"/>
  <c r="H4" i="1" s="1"/>
  <c r="H16" i="5"/>
  <c r="I4" i="1" s="1"/>
  <c r="I16" i="5"/>
  <c r="J4" i="1" s="1"/>
  <c r="D16" i="5"/>
  <c r="E4" i="1" s="1"/>
  <c r="N16" i="5"/>
  <c r="O4" i="1" s="1"/>
  <c r="O16" i="5"/>
  <c r="P4" i="1" s="1"/>
  <c r="P7" i="5"/>
  <c r="P8" i="5"/>
  <c r="P9" i="5"/>
  <c r="P10" i="5"/>
  <c r="P11" i="5"/>
  <c r="P12" i="5"/>
  <c r="P13" i="5"/>
  <c r="P6" i="5"/>
  <c r="M16" i="5"/>
  <c r="N4" i="1" s="1"/>
  <c r="Q15" i="3" l="1"/>
  <c r="Q17" i="3"/>
  <c r="Q28" i="3"/>
  <c r="Q20" i="3"/>
  <c r="R54" i="3"/>
  <c r="R42" i="3"/>
  <c r="R48" i="3"/>
  <c r="R36" i="3"/>
  <c r="R34" i="3"/>
  <c r="P16" i="12"/>
  <c r="Q7" i="1"/>
  <c r="E10" i="1"/>
  <c r="E60" i="1" s="1"/>
  <c r="E65" i="1" s="1"/>
  <c r="E68" i="1" s="1"/>
  <c r="Q6" i="1"/>
  <c r="J10" i="1"/>
  <c r="J60" i="1" s="1"/>
  <c r="J65" i="1" s="1"/>
  <c r="J68" i="1" s="1"/>
  <c r="H10" i="1"/>
  <c r="H60" i="1" s="1"/>
  <c r="H65" i="1" s="1"/>
  <c r="H68" i="1" s="1"/>
  <c r="F10" i="1"/>
  <c r="F60" i="1" s="1"/>
  <c r="F65" i="1" s="1"/>
  <c r="L10" i="1"/>
  <c r="L60" i="1" s="1"/>
  <c r="L65" i="1" s="1"/>
  <c r="L68" i="1" s="1"/>
  <c r="Q5" i="1"/>
  <c r="Q27" i="3"/>
  <c r="Q16" i="3"/>
  <c r="E7" i="3"/>
  <c r="Q7" i="3" s="1"/>
  <c r="Q6" i="3"/>
  <c r="G10" i="3"/>
  <c r="G29" i="3" s="1"/>
  <c r="G56" i="3" s="1"/>
  <c r="I10" i="3"/>
  <c r="I29" i="3" s="1"/>
  <c r="I56" i="3" s="1"/>
  <c r="K10" i="3"/>
  <c r="K29" i="3" s="1"/>
  <c r="N10" i="3"/>
  <c r="N29" i="3" s="1"/>
  <c r="P10" i="3"/>
  <c r="P29" i="3" s="1"/>
  <c r="P56" i="3" s="1"/>
  <c r="Q5" i="3"/>
  <c r="J10" i="3"/>
  <c r="J29" i="3" s="1"/>
  <c r="J56" i="3" s="1"/>
  <c r="F10" i="3"/>
  <c r="F29" i="3" s="1"/>
  <c r="F56" i="3" s="1"/>
  <c r="O10" i="3"/>
  <c r="O29" i="3" s="1"/>
  <c r="O56" i="3" s="1"/>
  <c r="M10" i="3"/>
  <c r="M29" i="3" s="1"/>
  <c r="M56" i="3" s="1"/>
  <c r="L10" i="3"/>
  <c r="L29" i="3" s="1"/>
  <c r="L56" i="3" s="1"/>
  <c r="H10" i="3"/>
  <c r="H29" i="3" s="1"/>
  <c r="G58" i="3"/>
  <c r="I58" i="3"/>
  <c r="Q4" i="3"/>
  <c r="Q16" i="9"/>
  <c r="P10" i="1"/>
  <c r="P60" i="1" s="1"/>
  <c r="P65" i="1" s="1"/>
  <c r="P68" i="1" s="1"/>
  <c r="N10" i="1"/>
  <c r="N60" i="1" s="1"/>
  <c r="N65" i="1" s="1"/>
  <c r="N68" i="1" s="1"/>
  <c r="P16" i="5"/>
  <c r="Q18" i="3"/>
  <c r="Q54" i="1"/>
  <c r="B11" i="2" s="1"/>
  <c r="D41" i="3"/>
  <c r="D39" i="3"/>
  <c r="D37" i="3"/>
  <c r="D33" i="3"/>
  <c r="D45" i="3"/>
  <c r="E19" i="3"/>
  <c r="Q19" i="3" s="1"/>
  <c r="B7" i="2"/>
  <c r="R58" i="3"/>
  <c r="Q16" i="11"/>
  <c r="Q16" i="10"/>
  <c r="P16" i="8"/>
  <c r="O10" i="1"/>
  <c r="O60" i="1" s="1"/>
  <c r="M10" i="1"/>
  <c r="M60" i="1" s="1"/>
  <c r="M65" i="1" s="1"/>
  <c r="M68" i="1" s="1"/>
  <c r="K10" i="1"/>
  <c r="K60" i="1" s="1"/>
  <c r="K65" i="1" s="1"/>
  <c r="K68" i="1" s="1"/>
  <c r="I10" i="1"/>
  <c r="I60" i="1" s="1"/>
  <c r="I65" i="1" s="1"/>
  <c r="I68" i="1" s="1"/>
  <c r="G10" i="1"/>
  <c r="G60" i="1" s="1"/>
  <c r="G65" i="1" s="1"/>
  <c r="G68" i="1" s="1"/>
  <c r="P16" i="7"/>
  <c r="P16" i="6"/>
  <c r="Q4" i="1"/>
  <c r="B17" i="4"/>
  <c r="G3" i="4"/>
  <c r="J3" i="4" s="1"/>
  <c r="H40" i="4" l="1"/>
  <c r="H42" i="4"/>
  <c r="H44" i="4"/>
  <c r="H46" i="4"/>
  <c r="H48" i="4"/>
  <c r="H50" i="4"/>
  <c r="H52" i="4"/>
  <c r="H54" i="4"/>
  <c r="H56" i="4"/>
  <c r="H39" i="4"/>
  <c r="H41" i="4"/>
  <c r="H43" i="4"/>
  <c r="H45" i="4"/>
  <c r="H47" i="4"/>
  <c r="H49" i="4"/>
  <c r="H51" i="4"/>
  <c r="H53" i="4"/>
  <c r="H55" i="4"/>
  <c r="H57" i="4"/>
  <c r="L3" i="4"/>
  <c r="H65" i="3"/>
  <c r="R56" i="3"/>
  <c r="E10" i="3"/>
  <c r="E29" i="3" s="1"/>
  <c r="F58" i="3"/>
  <c r="M58" i="3"/>
  <c r="F5" i="2"/>
  <c r="O58" i="3"/>
  <c r="P58" i="3"/>
  <c r="D5" i="2"/>
  <c r="J58" i="3"/>
  <c r="L58" i="3"/>
  <c r="E5" i="2"/>
  <c r="H58" i="3"/>
  <c r="H56" i="3"/>
  <c r="D11" i="2" s="1"/>
  <c r="N58" i="3"/>
  <c r="N56" i="3"/>
  <c r="F11" i="2" s="1"/>
  <c r="K58" i="3"/>
  <c r="E7" i="2" s="1"/>
  <c r="K56" i="3"/>
  <c r="E11" i="2" s="1"/>
  <c r="C5" i="2"/>
  <c r="O65" i="1"/>
  <c r="O68" i="1" s="1"/>
  <c r="Q60" i="1"/>
  <c r="B15" i="2" s="1"/>
  <c r="F68" i="1"/>
  <c r="B9" i="2"/>
  <c r="G62" i="3"/>
  <c r="G67" i="3" s="1"/>
  <c r="G76" i="3" s="1"/>
  <c r="I62" i="3"/>
  <c r="M62" i="3"/>
  <c r="O62" i="3"/>
  <c r="F62" i="3"/>
  <c r="F67" i="3" s="1"/>
  <c r="F76" i="3" s="1"/>
  <c r="J62" i="3"/>
  <c r="L62" i="3"/>
  <c r="P62" i="3"/>
  <c r="Q10" i="1"/>
  <c r="B5" i="2" s="1"/>
  <c r="H38" i="4"/>
  <c r="H36" i="4"/>
  <c r="H34" i="4"/>
  <c r="H32" i="4"/>
  <c r="H30" i="4"/>
  <c r="H28" i="4"/>
  <c r="H26" i="4"/>
  <c r="H24" i="4"/>
  <c r="H22" i="4"/>
  <c r="H20" i="4"/>
  <c r="H17" i="4"/>
  <c r="H15" i="4"/>
  <c r="H12" i="4"/>
  <c r="H14" i="4"/>
  <c r="H16" i="4"/>
  <c r="H3" i="4"/>
  <c r="I3" i="4" s="1"/>
  <c r="H5" i="4"/>
  <c r="H7" i="4"/>
  <c r="H9" i="4"/>
  <c r="H11" i="4"/>
  <c r="H21" i="4"/>
  <c r="H25" i="4"/>
  <c r="H29" i="4"/>
  <c r="H33" i="4"/>
  <c r="H37" i="4"/>
  <c r="H4" i="4"/>
  <c r="H6" i="4"/>
  <c r="H8" i="4"/>
  <c r="H10" i="4"/>
  <c r="H13" i="4"/>
  <c r="H18" i="4"/>
  <c r="H19" i="4"/>
  <c r="H23" i="4"/>
  <c r="H27" i="4"/>
  <c r="H31" i="4"/>
  <c r="H35" i="4"/>
  <c r="Q10" i="3" l="1"/>
  <c r="K3" i="4"/>
  <c r="H64" i="3"/>
  <c r="Q68" i="1"/>
  <c r="F7" i="2"/>
  <c r="F9" i="2" s="1"/>
  <c r="Q65" i="1"/>
  <c r="G5" i="2"/>
  <c r="D7" i="2"/>
  <c r="D9" i="2" s="1"/>
  <c r="E9" i="2"/>
  <c r="Q29" i="3"/>
  <c r="E56" i="3"/>
  <c r="E62" i="3" s="1"/>
  <c r="E67" i="3" s="1"/>
  <c r="E76" i="3" s="1"/>
  <c r="E58" i="3"/>
  <c r="C7" i="2" s="1"/>
  <c r="H62" i="3"/>
  <c r="H67" i="3" s="1"/>
  <c r="H76" i="3" s="1"/>
  <c r="Q60" i="3"/>
  <c r="N62" i="3"/>
  <c r="K62" i="3"/>
  <c r="M3" i="4"/>
  <c r="G4" i="4" s="1"/>
  <c r="F15" i="2" l="1"/>
  <c r="D15" i="2"/>
  <c r="C15" i="2"/>
  <c r="E15" i="2"/>
  <c r="G7" i="2"/>
  <c r="Q58" i="3"/>
  <c r="Q56" i="3"/>
  <c r="C11" i="2"/>
  <c r="Q62" i="3"/>
  <c r="G13" i="2"/>
  <c r="J4" i="4"/>
  <c r="I65" i="3" s="1"/>
  <c r="G15" i="2" l="1"/>
  <c r="G11" i="2"/>
  <c r="C9" i="2"/>
  <c r="G9" i="2" s="1"/>
  <c r="L4" i="4"/>
  <c r="I4" i="4"/>
  <c r="I64" i="3" s="1"/>
  <c r="I67" i="3" s="1"/>
  <c r="I76" i="3" s="1"/>
  <c r="K4" i="4" l="1"/>
  <c r="M4" i="4"/>
  <c r="G5" i="4" s="1"/>
  <c r="J5" i="4" l="1"/>
  <c r="J65" i="3" s="1"/>
  <c r="L5" i="4" l="1"/>
  <c r="I5" i="4"/>
  <c r="J64" i="3" s="1"/>
  <c r="J67" i="3" s="1"/>
  <c r="J76" i="3" s="1"/>
  <c r="K5" i="4" l="1"/>
  <c r="M5" i="4"/>
  <c r="G6" i="4" s="1"/>
  <c r="J6" i="4" l="1"/>
  <c r="K65" i="3" s="1"/>
  <c r="L6" i="4" l="1"/>
  <c r="I6" i="4"/>
  <c r="K64" i="3" s="1"/>
  <c r="K67" i="3" s="1"/>
  <c r="K76" i="3" s="1"/>
  <c r="K6" i="4" l="1"/>
  <c r="M6" i="4"/>
  <c r="G7" i="4" s="1"/>
  <c r="J7" i="4" l="1"/>
  <c r="L65" i="3" s="1"/>
  <c r="L7" i="4" l="1"/>
  <c r="I7" i="4"/>
  <c r="L64" i="3" s="1"/>
  <c r="L67" i="3" s="1"/>
  <c r="L76" i="3" s="1"/>
  <c r="K7" i="4" l="1"/>
  <c r="M7" i="4"/>
  <c r="G8" i="4" s="1"/>
  <c r="J8" i="4" l="1"/>
  <c r="M65" i="3" s="1"/>
  <c r="L8" i="4" l="1"/>
  <c r="I8" i="4"/>
  <c r="M64" i="3" s="1"/>
  <c r="M67" i="3" s="1"/>
  <c r="M76" i="3" s="1"/>
  <c r="K8" i="4" l="1"/>
  <c r="M8" i="4"/>
  <c r="G9" i="4" s="1"/>
  <c r="J9" i="4" l="1"/>
  <c r="N65" i="3" s="1"/>
  <c r="L9" i="4" l="1"/>
  <c r="I9" i="4"/>
  <c r="N64" i="3" s="1"/>
  <c r="N67" i="3" s="1"/>
  <c r="N76" i="3" s="1"/>
  <c r="K9" i="4" l="1"/>
  <c r="M9" i="4"/>
  <c r="G10" i="4" s="1"/>
  <c r="J10" i="4" l="1"/>
  <c r="O65" i="3" s="1"/>
  <c r="L10" i="4" l="1"/>
  <c r="I10" i="4"/>
  <c r="O64" i="3" s="1"/>
  <c r="O67" i="3" s="1"/>
  <c r="O76" i="3" s="1"/>
  <c r="K10" i="4" l="1"/>
  <c r="M10" i="4"/>
  <c r="G11" i="4" s="1"/>
  <c r="J11" i="4" l="1"/>
  <c r="P65" i="3" s="1"/>
  <c r="L11" i="4" l="1"/>
  <c r="I11" i="4"/>
  <c r="P64" i="3" s="1"/>
  <c r="P67" i="3" s="1"/>
  <c r="P76" i="3" s="1"/>
  <c r="K11" i="4" l="1"/>
  <c r="M11" i="4"/>
  <c r="G12" i="4" s="1"/>
  <c r="J12" i="4" l="1"/>
  <c r="L12" i="4" l="1"/>
  <c r="I12" i="4"/>
  <c r="K12" i="4" l="1"/>
  <c r="M12" i="4"/>
  <c r="G13" i="4" s="1"/>
  <c r="J13" i="4" l="1"/>
  <c r="L13" i="4" l="1"/>
  <c r="I13" i="4"/>
  <c r="K13" i="4" l="1"/>
  <c r="M13" i="4"/>
  <c r="G14" i="4" s="1"/>
  <c r="J14" i="4" l="1"/>
  <c r="L14" i="4" l="1"/>
  <c r="I14" i="4"/>
  <c r="K14" i="4" l="1"/>
  <c r="M14" i="4"/>
  <c r="G15" i="4" s="1"/>
  <c r="J15" i="4" l="1"/>
  <c r="L15" i="4" l="1"/>
  <c r="I15" i="4"/>
  <c r="K15" i="4" l="1"/>
  <c r="M15" i="4"/>
  <c r="G16" i="4" s="1"/>
  <c r="J16" i="4" l="1"/>
  <c r="L16" i="4" l="1"/>
  <c r="I16" i="4"/>
  <c r="K16" i="4" l="1"/>
  <c r="M16" i="4"/>
  <c r="G17" i="4" s="1"/>
  <c r="J17" i="4" l="1"/>
  <c r="L17" i="4" l="1"/>
  <c r="I17" i="4"/>
  <c r="K17" i="4" l="1"/>
  <c r="M17" i="4"/>
  <c r="G18" i="4" s="1"/>
  <c r="J18" i="4" l="1"/>
  <c r="L18" i="4" l="1"/>
  <c r="I18" i="4"/>
  <c r="K18" i="4" l="1"/>
  <c r="M18" i="4"/>
  <c r="G19" i="4" s="1"/>
  <c r="J19" i="4" l="1"/>
  <c r="L19" i="4" l="1"/>
  <c r="I19" i="4"/>
  <c r="K19" i="4" l="1"/>
  <c r="M19" i="4"/>
  <c r="G20" i="4" s="1"/>
  <c r="J20" i="4" l="1"/>
  <c r="L20" i="4" l="1"/>
  <c r="I20" i="4"/>
  <c r="K20" i="4" l="1"/>
  <c r="M20" i="4"/>
  <c r="G21" i="4" s="1"/>
  <c r="J21" i="4" l="1"/>
  <c r="L21" i="4" l="1"/>
  <c r="I21" i="4"/>
  <c r="K21" i="4" l="1"/>
  <c r="M21" i="4"/>
  <c r="G22" i="4" s="1"/>
  <c r="J22" i="4" l="1"/>
  <c r="L22" i="4" l="1"/>
  <c r="I22" i="4"/>
  <c r="K22" i="4" l="1"/>
  <c r="M22" i="4"/>
  <c r="G23" i="4" s="1"/>
  <c r="J23" i="4" l="1"/>
  <c r="L23" i="4" l="1"/>
  <c r="I23" i="4"/>
  <c r="K23" i="4" l="1"/>
  <c r="M23" i="4"/>
  <c r="G24" i="4" s="1"/>
  <c r="J24" i="4" l="1"/>
  <c r="L24" i="4" l="1"/>
  <c r="I24" i="4"/>
  <c r="K24" i="4" l="1"/>
  <c r="M24" i="4"/>
  <c r="G25" i="4" s="1"/>
  <c r="J25" i="4" l="1"/>
  <c r="L25" i="4" l="1"/>
  <c r="I25" i="4"/>
  <c r="K25" i="4" l="1"/>
  <c r="M25" i="4"/>
  <c r="G26" i="4" s="1"/>
  <c r="J26" i="4" l="1"/>
  <c r="L26" i="4" l="1"/>
  <c r="I26" i="4"/>
  <c r="K26" i="4" l="1"/>
  <c r="M26" i="4"/>
  <c r="G27" i="4" s="1"/>
  <c r="J27" i="4" l="1"/>
  <c r="L27" i="4" l="1"/>
  <c r="I27" i="4"/>
  <c r="K27" i="4" l="1"/>
  <c r="M27" i="4"/>
  <c r="G28" i="4" s="1"/>
  <c r="J28" i="4" l="1"/>
  <c r="L28" i="4" l="1"/>
  <c r="I28" i="4"/>
  <c r="K28" i="4" l="1"/>
  <c r="M28" i="4"/>
  <c r="G29" i="4" s="1"/>
  <c r="J29" i="4" l="1"/>
  <c r="L29" i="4" l="1"/>
  <c r="I29" i="4"/>
  <c r="K29" i="4" l="1"/>
  <c r="M29" i="4"/>
  <c r="G30" i="4" s="1"/>
  <c r="J30" i="4" l="1"/>
  <c r="L30" i="4" l="1"/>
  <c r="I30" i="4"/>
  <c r="K30" i="4" l="1"/>
  <c r="M30" i="4"/>
  <c r="G31" i="4" s="1"/>
  <c r="J31" i="4" l="1"/>
  <c r="F80" i="3" l="1"/>
  <c r="L31" i="4"/>
  <c r="I31" i="4"/>
  <c r="K31" i="4" l="1"/>
  <c r="M31" i="4"/>
  <c r="G32" i="4" s="1"/>
  <c r="J32" i="4" l="1"/>
  <c r="G80" i="3" l="1"/>
  <c r="L32" i="4"/>
  <c r="I32" i="4"/>
  <c r="C17" i="2" l="1"/>
  <c r="K32" i="4"/>
  <c r="M32" i="4"/>
  <c r="G33" i="4" s="1"/>
  <c r="G81" i="3" l="1"/>
  <c r="J33" i="4"/>
  <c r="L33" i="4" l="1"/>
  <c r="I33" i="4"/>
  <c r="C22" i="2" l="1"/>
  <c r="H80" i="3"/>
  <c r="K33" i="4"/>
  <c r="M33" i="4"/>
  <c r="G34" i="4" s="1"/>
  <c r="D21" i="2" l="1"/>
  <c r="H81" i="3"/>
  <c r="J34" i="4"/>
  <c r="I80" i="3" l="1"/>
  <c r="L34" i="4"/>
  <c r="I34" i="4"/>
  <c r="K34" i="4" l="1"/>
  <c r="M34" i="4"/>
  <c r="G35" i="4" s="1"/>
  <c r="J35" i="4" l="1"/>
  <c r="I81" i="3" l="1"/>
  <c r="J80" i="3" s="1"/>
  <c r="L35" i="4"/>
  <c r="I35" i="4"/>
  <c r="J81" i="3" l="1"/>
  <c r="D17" i="2"/>
  <c r="K35" i="4"/>
  <c r="M35" i="4"/>
  <c r="G36" i="4" s="1"/>
  <c r="D22" i="2" l="1"/>
  <c r="K80" i="3"/>
  <c r="E21" i="2" s="1"/>
  <c r="J36" i="4"/>
  <c r="L36" i="4" l="1"/>
  <c r="I36" i="4"/>
  <c r="K81" i="3" l="1"/>
  <c r="L80" i="3" s="1"/>
  <c r="K36" i="4"/>
  <c r="M36" i="4"/>
  <c r="G37" i="4" s="1"/>
  <c r="J37" i="4" l="1"/>
  <c r="L37" i="4" l="1"/>
  <c r="I37" i="4"/>
  <c r="L81" i="3" l="1"/>
  <c r="M80" i="3" s="1"/>
  <c r="K37" i="4"/>
  <c r="M37" i="4"/>
  <c r="G38" i="4" s="1"/>
  <c r="J38" i="4" l="1"/>
  <c r="L38" i="4" l="1"/>
  <c r="I38" i="4"/>
  <c r="M81" i="3" l="1"/>
  <c r="E17" i="2"/>
  <c r="K38" i="4"/>
  <c r="M38" i="4"/>
  <c r="G39" i="4" s="1"/>
  <c r="J39" i="4" s="1"/>
  <c r="E22" i="2" l="1"/>
  <c r="N80" i="3"/>
  <c r="F21" i="2" s="1"/>
  <c r="L39" i="4" l="1"/>
  <c r="I39" i="4"/>
  <c r="N81" i="3" l="1"/>
  <c r="O80" i="3" s="1"/>
  <c r="K39" i="4"/>
  <c r="M39" i="4"/>
  <c r="G40" i="4" s="1"/>
  <c r="J40" i="4" s="1"/>
  <c r="L40" i="4" l="1"/>
  <c r="I40" i="4"/>
  <c r="O81" i="3" l="1"/>
  <c r="P80" i="3" s="1"/>
  <c r="K40" i="4"/>
  <c r="M40" i="4"/>
  <c r="G41" i="4" s="1"/>
  <c r="J41" i="4" s="1"/>
  <c r="Q65" i="3" l="1"/>
  <c r="L41" i="4" l="1"/>
  <c r="I41" i="4"/>
  <c r="Q64" i="3" l="1"/>
  <c r="F17" i="2"/>
  <c r="G17" i="2" s="1"/>
  <c r="K41" i="4"/>
  <c r="M41" i="4"/>
  <c r="G42" i="4" s="1"/>
  <c r="J42" i="4" s="1"/>
  <c r="Q67" i="3" l="1"/>
  <c r="Q76" i="3" l="1"/>
  <c r="P81" i="3"/>
  <c r="L42" i="4"/>
  <c r="I42" i="4"/>
  <c r="F22" i="2" l="1"/>
  <c r="G22" i="2" s="1"/>
  <c r="P85" i="3"/>
  <c r="K42" i="4"/>
  <c r="M42" i="4"/>
  <c r="G43" i="4" s="1"/>
  <c r="J43" i="4" s="1"/>
  <c r="L43" i="4" l="1"/>
  <c r="I43" i="4"/>
  <c r="K43" i="4" l="1"/>
  <c r="M43" i="4"/>
  <c r="G44" i="4" s="1"/>
  <c r="J44" i="4" s="1"/>
  <c r="L44" i="4" l="1"/>
  <c r="I44" i="4"/>
  <c r="K44" i="4" l="1"/>
  <c r="M44" i="4"/>
  <c r="G45" i="4" s="1"/>
  <c r="J45" i="4" s="1"/>
  <c r="L45" i="4" l="1"/>
  <c r="I45" i="4"/>
  <c r="K45" i="4" l="1"/>
  <c r="M45" i="4"/>
  <c r="G46" i="4" s="1"/>
  <c r="J46" i="4" s="1"/>
  <c r="L46" i="4" l="1"/>
  <c r="I46" i="4"/>
  <c r="K46" i="4" l="1"/>
  <c r="M46" i="4"/>
  <c r="G47" i="4" s="1"/>
  <c r="J47" i="4" s="1"/>
  <c r="L47" i="4" l="1"/>
  <c r="I47" i="4"/>
  <c r="K47" i="4" l="1"/>
  <c r="M47" i="4"/>
  <c r="G48" i="4" s="1"/>
  <c r="J48" i="4" s="1"/>
  <c r="L48" i="4" l="1"/>
  <c r="I48" i="4"/>
  <c r="K48" i="4" l="1"/>
  <c r="M48" i="4"/>
  <c r="G49" i="4" s="1"/>
  <c r="J49" i="4" s="1"/>
  <c r="L49" i="4" l="1"/>
  <c r="I49" i="4"/>
  <c r="K49" i="4" l="1"/>
  <c r="M49" i="4"/>
  <c r="G50" i="4" s="1"/>
  <c r="J50" i="4" s="1"/>
  <c r="L50" i="4" l="1"/>
  <c r="I50" i="4"/>
  <c r="K50" i="4" l="1"/>
  <c r="M50" i="4"/>
  <c r="G51" i="4" s="1"/>
  <c r="J51" i="4" s="1"/>
  <c r="L51" i="4" l="1"/>
  <c r="I51" i="4"/>
  <c r="K51" i="4" l="1"/>
  <c r="M51" i="4"/>
  <c r="G52" i="4" s="1"/>
  <c r="J52" i="4" s="1"/>
  <c r="L52" i="4" l="1"/>
  <c r="I52" i="4"/>
  <c r="K52" i="4" l="1"/>
  <c r="M52" i="4"/>
  <c r="G53" i="4" s="1"/>
  <c r="J53" i="4" s="1"/>
  <c r="L53" i="4" l="1"/>
  <c r="I53" i="4"/>
  <c r="K53" i="4" l="1"/>
  <c r="M53" i="4"/>
  <c r="G54" i="4" s="1"/>
  <c r="J54" i="4" s="1"/>
  <c r="L54" i="4" l="1"/>
  <c r="I54" i="4"/>
  <c r="K54" i="4" l="1"/>
  <c r="M54" i="4"/>
  <c r="G55" i="4" s="1"/>
  <c r="J55" i="4" s="1"/>
  <c r="L55" i="4" l="1"/>
  <c r="I55" i="4"/>
  <c r="K55" i="4" l="1"/>
  <c r="M55" i="4"/>
  <c r="G56" i="4" s="1"/>
  <c r="J56" i="4" s="1"/>
  <c r="L56" i="4" l="1"/>
  <c r="I56" i="4"/>
  <c r="K56" i="4" l="1"/>
  <c r="M56" i="4"/>
  <c r="G57" i="4" s="1"/>
  <c r="J57" i="4" s="1"/>
  <c r="L57" i="4" l="1"/>
  <c r="I57" i="4"/>
  <c r="K57" i="4" l="1"/>
  <c r="M57" i="4"/>
</calcChain>
</file>

<file path=xl/sharedStrings.xml><?xml version="1.0" encoding="utf-8"?>
<sst xmlns="http://schemas.openxmlformats.org/spreadsheetml/2006/main" count="753" uniqueCount="295">
  <si>
    <t>Total Base Rent</t>
  </si>
  <si>
    <t>4500-0000</t>
  </si>
  <si>
    <t>Total CAM Revenue</t>
  </si>
  <si>
    <t>5200-0000</t>
  </si>
  <si>
    <t>Total RETAX Revenue</t>
  </si>
  <si>
    <t>5220-0000</t>
  </si>
  <si>
    <t>Total Insurance Revenue</t>
  </si>
  <si>
    <t>5210-0000</t>
  </si>
  <si>
    <t>Total Other Extra Revenue</t>
  </si>
  <si>
    <t>5230-0000</t>
  </si>
  <si>
    <t>Total Tenant Revenue</t>
  </si>
  <si>
    <t>CAM - LANDSCAPING</t>
  </si>
  <si>
    <t>6211-0000</t>
  </si>
  <si>
    <t>CAM - CLEANING</t>
  </si>
  <si>
    <t>6215-0000</t>
  </si>
  <si>
    <t>CAM - PARKING LOT</t>
  </si>
  <si>
    <t>6220-0000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</si>
  <si>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</si>
  <si>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</si>
  <si>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</si>
  <si>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</si>
  <si>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</si>
  <si>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</si>
  <si>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</si>
  <si>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6240-0000</t>
  </si>
  <si>
    <t>CAM - RUBBISH</t>
  </si>
  <si>
    <t>6245-0000</t>
  </si>
  <si>
    <t>6250-0000</t>
  </si>
  <si>
    <t>CAM - BUILDING SUPPLIES</t>
  </si>
  <si>
    <t>6255-0000</t>
  </si>
  <si>
    <t>6265-0000</t>
  </si>
  <si>
    <t>CAM - INSURANCE</t>
  </si>
  <si>
    <t>6270-0000</t>
  </si>
  <si>
    <t>CAM - ELECTRICITY</t>
  </si>
  <si>
    <t>6275-0000</t>
  </si>
  <si>
    <t>6285-0000</t>
  </si>
  <si>
    <t>6400-0000</t>
  </si>
  <si>
    <t>6425-0000</t>
  </si>
  <si>
    <t>CAM - MANAGEMENT FEES</t>
  </si>
  <si>
    <t>6290-0000</t>
  </si>
  <si>
    <t>6430-0000</t>
  </si>
  <si>
    <t>6500-0000</t>
  </si>
  <si>
    <t>6450-0000</t>
  </si>
  <si>
    <t>TAXES - OTHER</t>
  </si>
  <si>
    <t>6505-0000</t>
  </si>
  <si>
    <t>6520-0000</t>
  </si>
  <si>
    <t>6525-0000</t>
  </si>
  <si>
    <t>ADVERTISING EXPENSES</t>
  </si>
  <si>
    <t>6530-0000</t>
  </si>
  <si>
    <t>BANK CHARGES</t>
  </si>
  <si>
    <t>6565-0000</t>
  </si>
  <si>
    <t>6605-0000</t>
  </si>
  <si>
    <t>6610-0000</t>
  </si>
  <si>
    <t>PROFESSIONAL ACCOUNTING FEES</t>
  </si>
  <si>
    <t>6615-0000</t>
  </si>
  <si>
    <t>6625-0000</t>
  </si>
  <si>
    <t>CHARITABLE</t>
  </si>
  <si>
    <t>6630-0000</t>
  </si>
  <si>
    <t>7120-0000</t>
  </si>
  <si>
    <t>OFFICE CAR INSURANCE</t>
  </si>
  <si>
    <t>7200-0000</t>
  </si>
  <si>
    <t>OFFICE COMPUTER EXPENSE</t>
  </si>
  <si>
    <t>7215-0000</t>
  </si>
  <si>
    <t>OFFICE HOLIDAY EXPENSE</t>
  </si>
  <si>
    <t>7315-0000</t>
  </si>
  <si>
    <t>OFFICE SUPPLIES</t>
  </si>
  <si>
    <t>7420-0000</t>
  </si>
  <si>
    <t>OFFICE CHARITABLE</t>
  </si>
  <si>
    <t>7405-0000</t>
  </si>
  <si>
    <t>OFFICE POSTAGE</t>
  </si>
  <si>
    <t>7425-0000</t>
  </si>
  <si>
    <t>TELEPHONE</t>
  </si>
  <si>
    <t>6550-0000</t>
  </si>
  <si>
    <t>CAM - LICENCES &amp; PERMITS</t>
  </si>
  <si>
    <t>CAM - ALARM &amp; SPRINKLER</t>
  </si>
  <si>
    <t>CAM - WATER &amp; SEWER</t>
  </si>
  <si>
    <t>TAXES - REAL ESTATE</t>
  </si>
  <si>
    <t>FINES &amp; VIOLATIONS</t>
  </si>
  <si>
    <t>ADTERTISING EXPENSES</t>
  </si>
  <si>
    <t>PROFESSIONAL FEES - CONSULTANT</t>
  </si>
  <si>
    <t>PROFESSIONAL &amp; LEGAL FEES</t>
  </si>
  <si>
    <t>LICENCES &amp; PERMITS</t>
  </si>
  <si>
    <t>OFFICE AUTO &amp; LOCAL FARE</t>
  </si>
  <si>
    <t>MISCELLANEOUS</t>
  </si>
  <si>
    <t>Total Operating Expenses</t>
  </si>
  <si>
    <t>Category of Expense</t>
  </si>
  <si>
    <t>Property</t>
  </si>
  <si>
    <t>Account Code</t>
  </si>
  <si>
    <t>Reserves/Contingency</t>
  </si>
  <si>
    <t>Net Operating Income</t>
  </si>
  <si>
    <t>Principal Payments</t>
  </si>
  <si>
    <t>Interest Payments</t>
  </si>
  <si>
    <t>Net Cash After Principal &amp; Interest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</si>
  <si>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</si>
  <si>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</si>
  <si>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</si>
  <si>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</si>
  <si>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</si>
  <si>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Base</t>
  </si>
  <si>
    <t>Total 2015</t>
  </si>
  <si>
    <t>Variance</t>
  </si>
  <si>
    <t>Comments</t>
  </si>
  <si>
    <t>PLUMBING MAINTENANCE</t>
  </si>
  <si>
    <t>REPAIRS - EXTERIORS</t>
  </si>
  <si>
    <t>REPAIRS HVAC, BOILER &amp; EQUIPMENT</t>
  </si>
  <si>
    <t>SECURITY SERVICES - OUTSIDE</t>
  </si>
  <si>
    <t>Total 2016</t>
  </si>
  <si>
    <t>Total Minimum Rent</t>
  </si>
  <si>
    <t>Period</t>
  </si>
  <si>
    <t>Beginning Balance</t>
  </si>
  <si>
    <t>Payment</t>
  </si>
  <si>
    <t>Principal</t>
  </si>
  <si>
    <t>Interest</t>
  </si>
  <si>
    <t>Cumulative Principal</t>
  </si>
  <si>
    <t>Cumulative Interest</t>
  </si>
  <si>
    <t>Ending Balance</t>
  </si>
  <si>
    <t>Projected Inflation 2016</t>
  </si>
  <si>
    <t>Loan Amount</t>
  </si>
  <si>
    <t>Interest Rate</t>
  </si>
  <si>
    <t>Months</t>
  </si>
  <si>
    <t>Payments</t>
  </si>
  <si>
    <t>BASE RENTAL CHARGES</t>
  </si>
  <si>
    <t>Tenant Name</t>
  </si>
  <si>
    <t>Sq Ft</t>
  </si>
  <si>
    <t>Total Rent Revenue</t>
  </si>
  <si>
    <t>Total 2014</t>
  </si>
  <si>
    <t>2105-0000</t>
  </si>
  <si>
    <t>8505-0000</t>
  </si>
  <si>
    <t>MESSENGER &amp; DELIVERY</t>
  </si>
  <si>
    <t>6555-0000</t>
  </si>
  <si>
    <t>CAM CHARGES</t>
  </si>
  <si>
    <t>REAL ESTATE TAX CHARGES</t>
  </si>
  <si>
    <t>Revenue</t>
  </si>
  <si>
    <t>INSURANCE CHARGES</t>
  </si>
  <si>
    <t>Total Real Estate Taxes Revenue</t>
  </si>
  <si>
    <t>Rent PSF</t>
  </si>
  <si>
    <t>CAM PSF</t>
  </si>
  <si>
    <t>RETax PSF</t>
  </si>
  <si>
    <t>CAM Only</t>
  </si>
  <si>
    <t>Expenses</t>
  </si>
  <si>
    <t>CAM Expenses</t>
  </si>
  <si>
    <t>Reserves</t>
  </si>
  <si>
    <t>Period Debt Service</t>
  </si>
  <si>
    <t>Cash Balance Beginning of Period</t>
  </si>
  <si>
    <t>Cash Balance End of Period</t>
  </si>
  <si>
    <t>Q1 - 2016</t>
  </si>
  <si>
    <t>Q2 - 2016</t>
  </si>
  <si>
    <t>Q3 - 2016</t>
  </si>
  <si>
    <t>Q4 - 2016</t>
  </si>
  <si>
    <t>VACANT</t>
  </si>
  <si>
    <t>Non-CAM Expenses</t>
  </si>
  <si>
    <t xml:space="preserve">Property value increase, </t>
  </si>
  <si>
    <t>BROKERS COMMISSION</t>
  </si>
  <si>
    <t>RUTHERFORD BUDGET SUMMARY</t>
  </si>
  <si>
    <t>2015 OPERATING BUDGET - RUTHERFORD</t>
  </si>
  <si>
    <t>2016 OPERATING BUDGET - RUTHERFORD</t>
  </si>
  <si>
    <t>RUT</t>
  </si>
  <si>
    <t>Family Dollar</t>
  </si>
  <si>
    <t>Dunkin Donuts</t>
  </si>
  <si>
    <t>Century 21 1st Floor</t>
  </si>
  <si>
    <t>Century 21 2nd Floor</t>
  </si>
  <si>
    <t>LQ Laundromat</t>
  </si>
  <si>
    <t>310 Union Avenue Rutherford - Development Cost Analysis 2015</t>
  </si>
  <si>
    <t>ORIGINAL BUDGETED</t>
  </si>
  <si>
    <t>EXPENDITURE 2015</t>
  </si>
  <si>
    <t>TOTAL 2015</t>
  </si>
  <si>
    <t>PROJECT TOTAL</t>
  </si>
  <si>
    <t>INCOME</t>
  </si>
  <si>
    <t xml:space="preserve">Projected Revenue from Rent </t>
  </si>
  <si>
    <t>Projected Revenue from CAM</t>
  </si>
  <si>
    <t>Projected Revenue from Insurance</t>
  </si>
  <si>
    <t>Projected Revenue from RE Tax</t>
  </si>
  <si>
    <t>Other Revenue</t>
  </si>
  <si>
    <t>Grand Total Revenue Projected</t>
  </si>
  <si>
    <t>EXPENSES</t>
  </si>
  <si>
    <t>Total Operating Expenses (including Mortgage/RE Taxes) Projected</t>
  </si>
  <si>
    <t>GK&amp;A Construction Contract</t>
  </si>
  <si>
    <t xml:space="preserve">    Credit for Century 21 Ceiling Grid and Lights Change Order 2 - Credit $(7815)</t>
  </si>
  <si>
    <t xml:space="preserve">    Charges and Credits for Assorted Items Change Order 1 - $28,219 dated 3/10/15</t>
  </si>
  <si>
    <t xml:space="preserve">   Change Order #3  Sump Pump $5210 dated 4/23/15 </t>
  </si>
  <si>
    <t xml:space="preserve">   Change Order #4 for Additional Sump Pump and Engineering work at $21460 dated Aug 15</t>
  </si>
  <si>
    <t xml:space="preserve">   Projected Costs Site Work Change Orders</t>
  </si>
  <si>
    <t xml:space="preserve">    Net P,nt after Laundromat Cont, Water Service Upgrade ($13,877-$9,537= $4,350)</t>
  </si>
  <si>
    <t xml:space="preserve">   Change Order Adjustment</t>
  </si>
  <si>
    <t>Grand Total GK&amp;A Construction (Net)</t>
  </si>
  <si>
    <t>CLS Demolition Budget</t>
  </si>
  <si>
    <t>Grand Total Demolition (Net)</t>
  </si>
  <si>
    <t>Other Vendors</t>
  </si>
  <si>
    <t xml:space="preserve">     Dimick Fence Company</t>
  </si>
  <si>
    <t xml:space="preserve">     OZ Trucking and Rigging</t>
  </si>
  <si>
    <t xml:space="preserve">     Stonefield Engineering</t>
  </si>
  <si>
    <t xml:space="preserve">     Slevin Group Snow Removal (Supplemental)</t>
  </si>
  <si>
    <t xml:space="preserve">     HUB Performance Bonds</t>
  </si>
  <si>
    <t xml:space="preserve">     Roofing Extras</t>
  </si>
  <si>
    <t xml:space="preserve">     Clearpoint Services</t>
  </si>
  <si>
    <t xml:space="preserve">    More Core (New Roof)</t>
  </si>
  <si>
    <t>Grand Total Other Vendors</t>
  </si>
  <si>
    <t>Other Development Costs</t>
  </si>
  <si>
    <t xml:space="preserve">     Broker Fees Dunkin Donuts (Goldstein Group) 6625</t>
  </si>
  <si>
    <t xml:space="preserve">     Broker Fees (RKF) 6625</t>
  </si>
  <si>
    <t xml:space="preserve">      Broker Fees Laundromat (Goldstein Group)  6625</t>
  </si>
  <si>
    <t xml:space="preserve">       Broker Fees Other 6625</t>
  </si>
  <si>
    <t xml:space="preserve">       Performance Bonds for County and Boro</t>
  </si>
  <si>
    <t xml:space="preserve">      Tenant Allowances (TI) Dunkin Donuts</t>
  </si>
  <si>
    <t xml:space="preserve">       Tenant Allowances (TI)  LQ Laundry</t>
  </si>
  <si>
    <t xml:space="preserve">      Adjustments to Tenant Allowances Laundromat</t>
  </si>
  <si>
    <t>Grand Total Other Development Costs</t>
  </si>
  <si>
    <t>Grand Total Development Expense</t>
  </si>
  <si>
    <t>Development Contingency (5%)</t>
  </si>
  <si>
    <t>Net Cash Flow (Revenue - All Expenses, including construction, brokerage, etc)</t>
  </si>
  <si>
    <t>Net Cash after Capital Distributions</t>
  </si>
  <si>
    <t xml:space="preserve">   Note:   Dunkin Donuts per the lease has a $75,000 Tenant Improvement Allowance which JS Rutherford which has been dropped down to $35,000 due to a rent deal with Kretee Inc.  $35,000 is shown payable in September</t>
  </si>
  <si>
    <t>Annual Payments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</si>
  <si>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</si>
  <si>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</si>
  <si>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</si>
  <si>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</si>
  <si>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</si>
  <si>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</si>
  <si>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</si>
  <si>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</si>
  <si>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</si>
  <si>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</si>
  <si>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</si>
  <si>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</si>
  <si>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</si>
  <si>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</si>
  <si>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7/4/23-7/3/24</t>
  </si>
  <si>
    <t>SPACE 3</t>
  </si>
  <si>
    <t>7/4/24 - 7/3/25</t>
  </si>
  <si>
    <t>Total Payments</t>
  </si>
  <si>
    <t>Total 10-year rent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</si>
  <si>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</si>
  <si>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</si>
  <si>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</si>
  <si>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</si>
  <si>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</si>
  <si>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</si>
  <si>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</si>
  <si>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</si>
  <si>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</si>
  <si>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</si>
  <si>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</si>
  <si>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</si>
  <si>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</si>
  <si>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</si>
  <si>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</si>
  <si>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</si>
  <si>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</si>
  <si>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</si>
  <si>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25% Due 45 days after opening, payment of rent and conditions met</t>
  </si>
  <si>
    <t>Projected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</si>
  <si>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</si>
  <si>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</si>
  <si>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</si>
  <si>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</si>
  <si>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</si>
  <si>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Sunrise Tae Kwon Do</t>
  </si>
  <si>
    <t>Size</t>
  </si>
  <si>
    <t>Price PSF</t>
  </si>
  <si>
    <t>NA</t>
  </si>
  <si>
    <t>April 2016 Charge</t>
  </si>
  <si>
    <t>Total Cost</t>
  </si>
  <si>
    <t>Quest Diagnostics</t>
  </si>
  <si>
    <t>Vacancy 3</t>
  </si>
  <si>
    <t>May 2016 Charge</t>
  </si>
  <si>
    <t>June 2016 Charge</t>
  </si>
  <si>
    <t>Tenant Improvements</t>
  </si>
  <si>
    <t>1740-0000</t>
  </si>
  <si>
    <t>Owed (April)</t>
  </si>
  <si>
    <t>May 2016 charge</t>
  </si>
  <si>
    <t>Release of funds</t>
  </si>
  <si>
    <t>Year 1 Rent</t>
  </si>
  <si>
    <t>Year 2 Rent</t>
  </si>
  <si>
    <t>Year 3 Rent</t>
  </si>
  <si>
    <t>Year 4 Rent</t>
  </si>
  <si>
    <t>Year 5 Rent</t>
  </si>
  <si>
    <t>Total</t>
  </si>
  <si>
    <t>5% Commission</t>
  </si>
  <si>
    <t>SPACE 2 (QUEST DIAGNOSTICS) WITH RIPCO</t>
  </si>
  <si>
    <t>Square feet</t>
  </si>
  <si>
    <t>SUNRISE TKD</t>
  </si>
  <si>
    <t>SPACE 2 (QUEST)</t>
  </si>
  <si>
    <t>50% due at opening</t>
  </si>
  <si>
    <t>50% due six months after opening</t>
  </si>
  <si>
    <t>Broker's Commission</t>
  </si>
  <si>
    <t>SUNRISE TAE KWON DO WITH RKF</t>
  </si>
  <si>
    <t>1720-0000</t>
  </si>
  <si>
    <t>Building Improvements</t>
  </si>
  <si>
    <t>RCD 5/17/16</t>
  </si>
  <si>
    <t>RCD 11/1/16</t>
  </si>
  <si>
    <t>RCD 9/15/16</t>
  </si>
  <si>
    <t>Allowable Distribution</t>
  </si>
  <si>
    <t>To reserve in account</t>
  </si>
  <si>
    <t>hard coded - actual from Yardi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</si>
</sst>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  <numFmt numFmtId="166" formatCode="mm/dd/yy;@"/>
    <numFmt numFmtId="167" formatCode="0.000%"/>
    <numFmt numFmtId="168" formatCode="[$-409]mmmm\-yy;@"/>
    <numFmt numFmtId="169" formatCode="&quot;$&quot;#,##0"/>
  </numFmts>
  <fonts count="2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4"/>
      <color theme="1"/>
      <name val="Calibri"/>
      <family val="2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5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44" fontId="10" fillId="0" borderId="0" xfId="1" applyFont="1" applyAlignment="1">
      <alignment horizontal="center"/>
    </xf>
    <xf numFmtId="165" fontId="7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1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44" fontId="10" fillId="0" borderId="0" xfId="0" applyNumberFormat="1" applyFont="1" applyFill="1"/>
    <xf numFmtId="44" fontId="10" fillId="0" borderId="0" xfId="1" applyFont="1" applyFill="1"/>
    <xf numFmtId="3" fontId="8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65" fontId="10" fillId="0" borderId="0" xfId="1" applyNumberFormat="1" applyFont="1"/>
    <xf numFmtId="165" fontId="8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5" fontId="11" fillId="0" borderId="0" xfId="1" applyNumberFormat="1" applyFont="1"/>
    <xf numFmtId="0" fontId="12" fillId="0" borderId="0" xfId="1" applyNumberFormat="1" applyFont="1" applyAlignment="1">
      <alignment horizontal="center"/>
    </xf>
    <xf numFmtId="0" fontId="13" fillId="0" borderId="0" xfId="0" applyFont="1"/>
    <xf numFmtId="165" fontId="13" fillId="0" borderId="0" xfId="1" applyNumberFormat="1" applyFont="1"/>
    <xf numFmtId="0" fontId="13" fillId="0" borderId="0" xfId="0" applyNumberFormat="1" applyFont="1" applyAlignment="1">
      <alignment horizontal="center"/>
    </xf>
    <xf numFmtId="0" fontId="13" fillId="0" borderId="0" xfId="1" applyNumberFormat="1" applyFont="1" applyBorder="1" applyAlignment="1">
      <alignment horizontal="center"/>
    </xf>
    <xf numFmtId="165" fontId="13" fillId="0" borderId="0" xfId="1" applyNumberFormat="1" applyFont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5" fontId="7" fillId="2" borderId="0" xfId="1" applyNumberFormat="1" applyFont="1" applyFill="1"/>
    <xf numFmtId="0" fontId="7" fillId="2" borderId="0" xfId="0" applyFont="1" applyFill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165" fontId="9" fillId="3" borderId="0" xfId="1" applyNumberFormat="1" applyFont="1" applyFill="1" applyAlignment="1">
      <alignment horizontal="center"/>
    </xf>
    <xf numFmtId="165" fontId="9" fillId="3" borderId="0" xfId="1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165" fontId="7" fillId="3" borderId="0" xfId="1" applyNumberFormat="1" applyFont="1" applyFill="1"/>
    <xf numFmtId="0" fontId="13" fillId="3" borderId="0" xfId="0" applyFont="1" applyFill="1"/>
    <xf numFmtId="165" fontId="13" fillId="3" borderId="0" xfId="1" applyNumberFormat="1" applyFont="1" applyFill="1" applyBorder="1"/>
    <xf numFmtId="0" fontId="14" fillId="3" borderId="0" xfId="0" applyFont="1" applyFill="1"/>
    <xf numFmtId="165" fontId="14" fillId="3" borderId="0" xfId="1" applyNumberFormat="1" applyFont="1" applyFill="1" applyBorder="1"/>
    <xf numFmtId="165" fontId="12" fillId="3" borderId="0" xfId="1" applyNumberFormat="1" applyFont="1" applyFill="1"/>
    <xf numFmtId="165" fontId="11" fillId="2" borderId="0" xfId="1" applyNumberFormat="1" applyFont="1" applyFill="1"/>
    <xf numFmtId="165" fontId="11" fillId="3" borderId="0" xfId="1" applyNumberFormat="1" applyFont="1" applyFill="1"/>
    <xf numFmtId="0" fontId="10" fillId="3" borderId="0" xfId="0" applyFont="1" applyFill="1"/>
    <xf numFmtId="10" fontId="10" fillId="3" borderId="0" xfId="2" applyNumberFormat="1" applyFont="1" applyFill="1"/>
    <xf numFmtId="44" fontId="10" fillId="3" borderId="0" xfId="1" applyFont="1" applyFill="1"/>
    <xf numFmtId="8" fontId="10" fillId="3" borderId="0" xfId="0" applyNumberFormat="1" applyFont="1" applyFill="1"/>
    <xf numFmtId="0" fontId="10" fillId="0" borderId="0" xfId="0" applyFont="1" applyFill="1"/>
    <xf numFmtId="166" fontId="10" fillId="0" borderId="0" xfId="0" applyNumberFormat="1" applyFont="1" applyFill="1"/>
    <xf numFmtId="0" fontId="10" fillId="0" borderId="0" xfId="0" applyFont="1" applyFill="1" applyAlignment="1">
      <alignment horizontal="center" vertical="center" wrapText="1"/>
    </xf>
    <xf numFmtId="3" fontId="10" fillId="2" borderId="0" xfId="0" applyNumberFormat="1" applyFont="1" applyFill="1" applyAlignment="1">
      <alignment horizontal="center"/>
    </xf>
    <xf numFmtId="165" fontId="10" fillId="2" borderId="0" xfId="1" applyNumberFormat="1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165" fontId="8" fillId="3" borderId="0" xfId="1" applyNumberFormat="1" applyFont="1" applyFill="1"/>
    <xf numFmtId="44" fontId="10" fillId="2" borderId="0" xfId="1" applyFont="1" applyFill="1" applyAlignment="1">
      <alignment horizontal="center"/>
    </xf>
    <xf numFmtId="0" fontId="16" fillId="3" borderId="0" xfId="0" applyFont="1" applyFill="1"/>
    <xf numFmtId="0" fontId="16" fillId="3" borderId="0" xfId="0" applyFont="1" applyFill="1" applyAlignment="1">
      <alignment horizontal="center"/>
    </xf>
    <xf numFmtId="3" fontId="16" fillId="3" borderId="0" xfId="0" applyNumberFormat="1" applyFont="1" applyFill="1" applyAlignment="1">
      <alignment horizontal="center"/>
    </xf>
    <xf numFmtId="165" fontId="16" fillId="3" borderId="0" xfId="1" applyNumberFormat="1" applyFont="1" applyFill="1"/>
    <xf numFmtId="0" fontId="15" fillId="0" borderId="0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165" fontId="13" fillId="3" borderId="2" xfId="1" applyNumberFormat="1" applyFont="1" applyFill="1" applyBorder="1"/>
    <xf numFmtId="165" fontId="13" fillId="0" borderId="2" xfId="1" applyNumberFormat="1" applyFont="1" applyBorder="1"/>
    <xf numFmtId="165" fontId="14" fillId="3" borderId="2" xfId="1" applyNumberFormat="1" applyFont="1" applyFill="1" applyBorder="1"/>
    <xf numFmtId="165" fontId="13" fillId="3" borderId="3" xfId="1" applyNumberFormat="1" applyFont="1" applyFill="1" applyBorder="1"/>
    <xf numFmtId="165" fontId="7" fillId="0" borderId="4" xfId="1" applyNumberFormat="1" applyFont="1" applyBorder="1"/>
    <xf numFmtId="164" fontId="9" fillId="0" borderId="4" xfId="1" quotePrefix="1" applyNumberFormat="1" applyFont="1" applyBorder="1" applyAlignment="1">
      <alignment horizontal="center"/>
    </xf>
    <xf numFmtId="165" fontId="7" fillId="2" borderId="4" xfId="1" applyNumberFormat="1" applyFont="1" applyFill="1" applyBorder="1"/>
    <xf numFmtId="165" fontId="9" fillId="3" borderId="4" xfId="1" applyNumberFormat="1" applyFont="1" applyFill="1" applyBorder="1"/>
    <xf numFmtId="165" fontId="7" fillId="3" borderId="4" xfId="1" applyNumberFormat="1" applyFont="1" applyFill="1" applyBorder="1"/>
    <xf numFmtId="165" fontId="7" fillId="0" borderId="5" xfId="1" applyNumberFormat="1" applyFont="1" applyBorder="1" applyAlignment="1">
      <alignment horizontal="center"/>
    </xf>
    <xf numFmtId="164" fontId="9" fillId="0" borderId="5" xfId="1" applyNumberFormat="1" applyFont="1" applyBorder="1" applyAlignment="1">
      <alignment horizontal="center"/>
    </xf>
    <xf numFmtId="165" fontId="10" fillId="2" borderId="5" xfId="1" applyNumberFormat="1" applyFont="1" applyFill="1" applyBorder="1" applyAlignment="1">
      <alignment horizontal="center"/>
    </xf>
    <xf numFmtId="165" fontId="10" fillId="0" borderId="5" xfId="1" applyNumberFormat="1" applyFont="1" applyBorder="1" applyAlignment="1">
      <alignment horizontal="center"/>
    </xf>
    <xf numFmtId="165" fontId="9" fillId="3" borderId="5" xfId="1" applyNumberFormat="1" applyFont="1" applyFill="1" applyBorder="1" applyAlignment="1">
      <alignment horizontal="center"/>
    </xf>
    <xf numFmtId="165" fontId="9" fillId="2" borderId="5" xfId="1" applyNumberFormat="1" applyFont="1" applyFill="1" applyBorder="1" applyAlignment="1">
      <alignment horizontal="center"/>
    </xf>
    <xf numFmtId="165" fontId="7" fillId="2" borderId="5" xfId="1" applyNumberFormat="1" applyFont="1" applyFill="1" applyBorder="1" applyAlignment="1">
      <alignment horizontal="center"/>
    </xf>
    <xf numFmtId="165" fontId="7" fillId="3" borderId="5" xfId="1" applyNumberFormat="1" applyFont="1" applyFill="1" applyBorder="1" applyAlignment="1">
      <alignment horizontal="center"/>
    </xf>
    <xf numFmtId="166" fontId="10" fillId="0" borderId="0" xfId="0" applyNumberFormat="1" applyFont="1" applyFill="1" applyAlignment="1">
      <alignment horizontal="center" vertical="center" wrapText="1"/>
    </xf>
    <xf numFmtId="44" fontId="10" fillId="0" borderId="0" xfId="1" applyFont="1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/>
    <xf numFmtId="44" fontId="10" fillId="0" borderId="0" xfId="0" applyNumberFormat="1" applyFont="1" applyFill="1" applyBorder="1"/>
    <xf numFmtId="44" fontId="10" fillId="0" borderId="0" xfId="1" applyFont="1" applyFill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10" fillId="0" borderId="0" xfId="1" applyNumberFormat="1" applyFont="1" applyFill="1"/>
    <xf numFmtId="0" fontId="17" fillId="0" borderId="0" xfId="0" applyFont="1"/>
    <xf numFmtId="0" fontId="18" fillId="0" borderId="6" xfId="0" applyFont="1" applyBorder="1" applyAlignment="1">
      <alignment horizontal="center" wrapText="1"/>
    </xf>
    <xf numFmtId="164" fontId="18" fillId="0" borderId="6" xfId="0" applyNumberFormat="1" applyFont="1" applyBorder="1" applyAlignment="1">
      <alignment horizontal="center" wrapText="1"/>
    </xf>
    <xf numFmtId="0" fontId="18" fillId="0" borderId="6" xfId="0" applyFont="1" applyBorder="1"/>
    <xf numFmtId="0" fontId="8" fillId="0" borderId="6" xfId="0" applyFont="1" applyBorder="1"/>
    <xf numFmtId="42" fontId="8" fillId="0" borderId="6" xfId="0" applyNumberFormat="1" applyFont="1" applyBorder="1"/>
    <xf numFmtId="42" fontId="8" fillId="0" borderId="0" xfId="0" applyNumberFormat="1" applyFont="1"/>
    <xf numFmtId="0" fontId="19" fillId="0" borderId="6" xfId="0" applyFont="1" applyBorder="1"/>
    <xf numFmtId="42" fontId="20" fillId="0" borderId="6" xfId="0" applyNumberFormat="1" applyFont="1" applyBorder="1"/>
    <xf numFmtId="42" fontId="21" fillId="0" borderId="6" xfId="0" applyNumberFormat="1" applyFont="1" applyBorder="1"/>
    <xf numFmtId="0" fontId="21" fillId="0" borderId="0" xfId="0" applyFont="1"/>
    <xf numFmtId="42" fontId="19" fillId="0" borderId="7" xfId="0" applyNumberFormat="1" applyFont="1" applyBorder="1"/>
    <xf numFmtId="42" fontId="22" fillId="0" borderId="7" xfId="0" applyNumberFormat="1" applyFont="1" applyBorder="1"/>
    <xf numFmtId="42" fontId="21" fillId="0" borderId="8" xfId="0" applyNumberFormat="1" applyFont="1" applyBorder="1"/>
    <xf numFmtId="42" fontId="21" fillId="0" borderId="9" xfId="0" applyNumberFormat="1" applyFont="1" applyBorder="1"/>
    <xf numFmtId="42" fontId="23" fillId="0" borderId="7" xfId="0" applyNumberFormat="1" applyFont="1" applyBorder="1"/>
    <xf numFmtId="42" fontId="20" fillId="0" borderId="7" xfId="0" applyNumberFormat="1" applyFont="1" applyBorder="1"/>
    <xf numFmtId="42" fontId="21" fillId="0" borderId="7" xfId="0" applyNumberFormat="1" applyFont="1" applyBorder="1"/>
    <xf numFmtId="0" fontId="8" fillId="0" borderId="7" xfId="0" applyFont="1" applyBorder="1"/>
    <xf numFmtId="42" fontId="24" fillId="0" borderId="7" xfId="0" applyNumberFormat="1" applyFont="1" applyBorder="1"/>
    <xf numFmtId="0" fontId="8" fillId="0" borderId="8" xfId="0" applyFont="1" applyBorder="1"/>
    <xf numFmtId="0" fontId="8" fillId="4" borderId="6" xfId="0" applyFont="1" applyFill="1" applyBorder="1"/>
    <xf numFmtId="165" fontId="8" fillId="0" borderId="6" xfId="1" applyNumberFormat="1" applyFont="1" applyBorder="1"/>
    <xf numFmtId="165" fontId="8" fillId="0" borderId="0" xfId="1" applyNumberFormat="1" applyFont="1"/>
    <xf numFmtId="0" fontId="10" fillId="0" borderId="6" xfId="0" applyFont="1" applyBorder="1"/>
    <xf numFmtId="0" fontId="10" fillId="0" borderId="6" xfId="0" applyFont="1" applyBorder="1" applyAlignment="1">
      <alignment wrapText="1"/>
    </xf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2" fontId="10" fillId="0" borderId="6" xfId="0" applyNumberFormat="1" applyFont="1" applyBorder="1"/>
    <xf numFmtId="42" fontId="10" fillId="0" borderId="7" xfId="0" applyNumberFormat="1" applyFont="1" applyBorder="1"/>
    <xf numFmtId="42" fontId="10" fillId="0" borderId="8" xfId="0" applyNumberFormat="1" applyFont="1" applyBorder="1"/>
    <xf numFmtId="0" fontId="10" fillId="0" borderId="8" xfId="0" applyFont="1" applyBorder="1"/>
    <xf numFmtId="42" fontId="10" fillId="0" borderId="9" xfId="0" applyNumberFormat="1" applyFont="1" applyBorder="1"/>
    <xf numFmtId="42" fontId="10" fillId="0" borderId="0" xfId="0" applyNumberFormat="1" applyFont="1" applyBorder="1"/>
    <xf numFmtId="0" fontId="10" fillId="0" borderId="7" xfId="0" applyFont="1" applyBorder="1"/>
    <xf numFmtId="165" fontId="10" fillId="0" borderId="6" xfId="1" applyNumberFormat="1" applyFont="1" applyBorder="1"/>
    <xf numFmtId="0" fontId="10" fillId="0" borderId="0" xfId="0" applyFont="1" applyBorder="1"/>
    <xf numFmtId="44" fontId="10" fillId="0" borderId="0" xfId="1" applyFont="1" applyBorder="1"/>
    <xf numFmtId="167" fontId="10" fillId="0" borderId="0" xfId="2" applyNumberFormat="1" applyFont="1" applyBorder="1"/>
    <xf numFmtId="0" fontId="10" fillId="0" borderId="0" xfId="0" applyFont="1" applyFill="1" applyBorder="1"/>
    <xf numFmtId="168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4" fontId="25" fillId="0" borderId="0" xfId="0" applyNumberFormat="1" applyFont="1"/>
    <xf numFmtId="44" fontId="8" fillId="0" borderId="0" xfId="0" applyNumberFormat="1" applyFont="1"/>
    <xf numFmtId="14" fontId="8" fillId="0" borderId="0" xfId="0" applyNumberFormat="1" applyFont="1"/>
    <xf numFmtId="16" fontId="18" fillId="0" borderId="0" xfId="0" applyNumberFormat="1" applyFont="1" applyAlignment="1">
      <alignment vertical="center"/>
    </xf>
    <xf numFmtId="44" fontId="10" fillId="0" borderId="0" xfId="1" applyFont="1"/>
    <xf numFmtId="44" fontId="10" fillId="0" borderId="0" xfId="0" applyNumberFormat="1" applyFont="1"/>
    <xf numFmtId="169" fontId="10" fillId="0" borderId="0" xfId="0" applyNumberFormat="1" applyFont="1"/>
    <xf numFmtId="14" fontId="10" fillId="0" borderId="0" xfId="0" applyNumberFormat="1" applyFont="1" applyAlignment="1">
      <alignment horizontal="center"/>
    </xf>
    <xf numFmtId="9" fontId="10" fillId="0" borderId="0" xfId="0" applyNumberFormat="1" applyFont="1"/>
    <xf numFmtId="44" fontId="8" fillId="0" borderId="10" xfId="1" applyFont="1" applyBorder="1"/>
    <xf numFmtId="14" fontId="10" fillId="0" borderId="0" xfId="0" applyNumberFormat="1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8" fillId="0" borderId="11" xfId="0" applyFont="1" applyFill="1" applyBorder="1"/>
    <xf numFmtId="0" fontId="10" fillId="0" borderId="12" xfId="0" applyFont="1" applyFill="1" applyBorder="1"/>
    <xf numFmtId="0" fontId="10" fillId="0" borderId="4" xfId="0" applyFont="1" applyFill="1" applyBorder="1"/>
    <xf numFmtId="3" fontId="10" fillId="0" borderId="5" xfId="0" applyNumberFormat="1" applyFont="1" applyFill="1" applyBorder="1"/>
    <xf numFmtId="0" fontId="10" fillId="0" borderId="5" xfId="0" applyFont="1" applyFill="1" applyBorder="1"/>
    <xf numFmtId="44" fontId="10" fillId="0" borderId="5" xfId="1" applyFont="1" applyFill="1" applyBorder="1"/>
    <xf numFmtId="0" fontId="10" fillId="0" borderId="13" xfId="0" applyFont="1" applyFill="1" applyBorder="1"/>
    <xf numFmtId="44" fontId="10" fillId="0" borderId="14" xfId="1" applyFont="1" applyFill="1" applyBorder="1"/>
    <xf numFmtId="0" fontId="8" fillId="0" borderId="11" xfId="0" applyFont="1" applyFill="1" applyBorder="1" applyAlignment="1">
      <alignment horizontal="center" vertical="center" wrapText="1"/>
    </xf>
    <xf numFmtId="44" fontId="10" fillId="0" borderId="12" xfId="1" applyFont="1" applyFill="1" applyBorder="1" applyAlignment="1">
      <alignment horizontal="center" vertical="center" wrapText="1"/>
    </xf>
    <xf numFmtId="37" fontId="10" fillId="0" borderId="5" xfId="1" applyNumberFormat="1" applyFont="1" applyFill="1" applyBorder="1"/>
    <xf numFmtId="44" fontId="10" fillId="0" borderId="5" xfId="0" applyNumberFormat="1" applyFont="1" applyFill="1" applyBorder="1"/>
    <xf numFmtId="44" fontId="10" fillId="0" borderId="14" xfId="0" applyNumberFormat="1" applyFont="1" applyFill="1" applyBorder="1"/>
    <xf numFmtId="44" fontId="25" fillId="0" borderId="0" xfId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" fontId="10" fillId="0" borderId="0" xfId="0" applyNumberFormat="1" applyFont="1"/>
    <xf numFmtId="0" fontId="1" fillId="0" borderId="0" xfId="0" applyFont="1"/>
    <xf numFmtId="0" fontId="1" fillId="2" borderId="0" xfId="0" applyFont="1" applyFill="1"/>
    <xf numFmtId="44" fontId="7" fillId="0" borderId="0" xfId="1" applyNumberFormat="1" applyFont="1"/>
    <xf numFmtId="165" fontId="2" fillId="0" borderId="0" xfId="1" applyNumberFormat="1" applyFont="1" applyAlignment="1">
      <alignment horizontal="right"/>
    </xf>
    <xf numFmtId="165" fontId="26" fillId="0" borderId="0" xfId="1" applyNumberFormat="1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5" name="Straight Arrow Connector 4"/>
        <xdr:cNvCxnSpPr/>
      </xdr:nvCxnSpPr>
      <xdr:spPr>
        <a:xfrm>
          <a:off x="6215062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7" name="Straight Arrow Connector 6"/>
        <xdr:cNvCxnSpPr/>
      </xdr:nvCxnSpPr>
      <xdr:spPr>
        <a:xfrm flipH="1">
          <a:off x="6977062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90" zoomScaleNormal="90" workbookViewId="0">
      <selection activeCell="C11" sqref="C11"/>
    </sheetView>
  </sheetViews>
  <sheetFormatPr defaultRowHeight="18.75" x14ac:dyDescent="0.3"/>
  <cols>
    <col min="1" max="1" width="30.5546875" style="22" bestFit="1" customWidth="1"/>
    <col min="2" max="7" width="10.6640625" style="23" bestFit="1" customWidth="1"/>
    <col min="8" max="16384" width="8.88671875" style="22"/>
  </cols>
  <sheetData>
    <row r="1" spans="1:7" x14ac:dyDescent="0.3">
      <c r="A1" s="173" t="s">
        <v>153</v>
      </c>
      <c r="B1" s="173"/>
      <c r="C1" s="173"/>
      <c r="D1" s="173"/>
      <c r="E1" s="173"/>
      <c r="F1" s="173"/>
      <c r="G1" s="173"/>
    </row>
    <row r="3" spans="1:7" s="24" customFormat="1" x14ac:dyDescent="0.3">
      <c r="B3" s="66" t="s">
        <v>99</v>
      </c>
      <c r="C3" s="65" t="s">
        <v>145</v>
      </c>
      <c r="D3" s="65" t="s">
        <v>146</v>
      </c>
      <c r="E3" s="65" t="s">
        <v>147</v>
      </c>
      <c r="F3" s="65" t="s">
        <v>148</v>
      </c>
      <c r="G3" s="66" t="s">
        <v>106</v>
      </c>
    </row>
    <row r="4" spans="1:7" s="24" customFormat="1" x14ac:dyDescent="0.3">
      <c r="B4" s="67"/>
      <c r="C4" s="25"/>
      <c r="D4" s="25"/>
      <c r="E4" s="25"/>
      <c r="F4" s="25"/>
      <c r="G4" s="67"/>
    </row>
    <row r="5" spans="1:7" x14ac:dyDescent="0.3">
      <c r="A5" s="40" t="s">
        <v>132</v>
      </c>
      <c r="B5" s="68">
        <f>'Op Budget 2015'!Q10</f>
        <v>267930.5</v>
      </c>
      <c r="C5" s="41">
        <f>SUM('Op Budget 2016'!E10:G10)</f>
        <v>102201</v>
      </c>
      <c r="D5" s="41">
        <f>SUM('Op Budget 2016'!H10:J10)</f>
        <v>107155.35483870968</v>
      </c>
      <c r="E5" s="41">
        <f>SUM('Op Budget 2016'!K10:M10)</f>
        <v>117956.75</v>
      </c>
      <c r="F5" s="41">
        <f>SUM('Op Budget 2016'!N10:P10)</f>
        <v>131157.5</v>
      </c>
      <c r="G5" s="68">
        <f>SUM(C5:F5)</f>
        <v>458470.6048387097</v>
      </c>
    </row>
    <row r="6" spans="1:7" x14ac:dyDescent="0.3">
      <c r="B6" s="69"/>
      <c r="C6" s="26"/>
      <c r="D6" s="26"/>
      <c r="E6" s="26"/>
      <c r="F6" s="26"/>
      <c r="G6" s="69"/>
    </row>
    <row r="7" spans="1:7" x14ac:dyDescent="0.3">
      <c r="A7" s="40" t="s">
        <v>140</v>
      </c>
      <c r="B7" s="68">
        <f>'Op Budget 2015'!Q56</f>
        <v>52312.03</v>
      </c>
      <c r="C7" s="41">
        <f>SUM('Op Budget 2016'!E58:G58)</f>
        <v>11184.887900000002</v>
      </c>
      <c r="D7" s="41">
        <f>SUM('Op Budget 2016'!H58:J58)</f>
        <v>19279.605641935486</v>
      </c>
      <c r="E7" s="41">
        <f>SUM('Op Budget 2016'!K58:M58)</f>
        <v>14302.6754</v>
      </c>
      <c r="F7" s="41">
        <f>SUM('Op Budget 2016'!N58:P58)</f>
        <v>16868.712900000002</v>
      </c>
      <c r="G7" s="68">
        <f>SUM(C7:F7)</f>
        <v>61635.881841935494</v>
      </c>
    </row>
    <row r="8" spans="1:7" x14ac:dyDescent="0.3">
      <c r="B8" s="69"/>
      <c r="C8" s="26"/>
      <c r="D8" s="26"/>
      <c r="E8" s="26"/>
      <c r="F8" s="26"/>
      <c r="G8" s="69"/>
    </row>
    <row r="9" spans="1:7" x14ac:dyDescent="0.3">
      <c r="A9" s="40" t="s">
        <v>150</v>
      </c>
      <c r="B9" s="68">
        <f>B11-B7</f>
        <v>154110.47999999998</v>
      </c>
      <c r="C9" s="41">
        <f>C11-C7</f>
        <v>29064.406499999997</v>
      </c>
      <c r="D9" s="41">
        <f t="shared" ref="D9:F9" si="0">D11-D7</f>
        <v>27301.406499999997</v>
      </c>
      <c r="E9" s="41">
        <f t="shared" si="0"/>
        <v>26676.406499999997</v>
      </c>
      <c r="F9" s="41">
        <f t="shared" si="0"/>
        <v>29011.406499999994</v>
      </c>
      <c r="G9" s="68">
        <f>SUM(C9:F9)</f>
        <v>112053.62599999999</v>
      </c>
    </row>
    <row r="10" spans="1:7" x14ac:dyDescent="0.3">
      <c r="B10" s="69"/>
      <c r="C10" s="26"/>
      <c r="D10" s="26"/>
      <c r="E10" s="26"/>
      <c r="F10" s="26"/>
      <c r="G10" s="69"/>
    </row>
    <row r="11" spans="1:7" x14ac:dyDescent="0.3">
      <c r="A11" s="40" t="s">
        <v>139</v>
      </c>
      <c r="B11" s="68">
        <f>'Op Budget 2015'!Q54</f>
        <v>206422.50999999998</v>
      </c>
      <c r="C11" s="41">
        <f>SUM('Op Budget 2016'!E56:G56)</f>
        <v>40249.294399999999</v>
      </c>
      <c r="D11" s="41">
        <f>SUM('Op Budget 2016'!H56:J56)</f>
        <v>46581.012141935484</v>
      </c>
      <c r="E11" s="41">
        <f>SUM('Op Budget 2016'!K56:M56)</f>
        <v>40979.081899999997</v>
      </c>
      <c r="F11" s="41">
        <f>SUM('Op Budget 2016'!N56:P56)</f>
        <v>45880.119399999996</v>
      </c>
      <c r="G11" s="68">
        <f>SUM(C11:F11)</f>
        <v>173689.50784193547</v>
      </c>
    </row>
    <row r="12" spans="1:7" x14ac:dyDescent="0.3">
      <c r="B12" s="69"/>
      <c r="C12" s="26"/>
      <c r="D12" s="26"/>
      <c r="E12" s="26"/>
      <c r="F12" s="26"/>
      <c r="G12" s="69"/>
    </row>
    <row r="13" spans="1:7" x14ac:dyDescent="0.3">
      <c r="A13" s="40" t="s">
        <v>141</v>
      </c>
      <c r="B13" s="68">
        <f>'Op Budget 2015'!Q58</f>
        <v>0</v>
      </c>
      <c r="C13" s="41">
        <f>SUM('Op Budget 2016'!E60:G60)</f>
        <v>2737.125</v>
      </c>
      <c r="D13" s="41">
        <f>SUM('Op Budget 2016'!H60:J60)</f>
        <v>2737.125</v>
      </c>
      <c r="E13" s="41">
        <f>SUM('Op Budget 2016'!K60:M60)</f>
        <v>2737.125</v>
      </c>
      <c r="F13" s="41">
        <f>SUM('Op Budget 2016'!N60:P60)</f>
        <v>2737.125</v>
      </c>
      <c r="G13" s="68">
        <f>SUM(C13:F13)</f>
        <v>10948.5</v>
      </c>
    </row>
    <row r="14" spans="1:7" x14ac:dyDescent="0.3">
      <c r="B14" s="69"/>
      <c r="C14" s="26"/>
      <c r="D14" s="26"/>
      <c r="E14" s="26"/>
      <c r="F14" s="26"/>
      <c r="G14" s="69"/>
    </row>
    <row r="15" spans="1:7" x14ac:dyDescent="0.3">
      <c r="A15" s="42" t="s">
        <v>89</v>
      </c>
      <c r="B15" s="70">
        <f>'Op Budget 2015'!Q60</f>
        <v>61507.99000000002</v>
      </c>
      <c r="C15" s="43">
        <f>SUM('Op Budget 2016'!E62:G62)</f>
        <v>59214.580600000001</v>
      </c>
      <c r="D15" s="43">
        <f>SUM('Op Budget 2016'!H62:J62)</f>
        <v>57837.217696774198</v>
      </c>
      <c r="E15" s="43">
        <f>SUM('Op Budget 2016'!K62:M62)</f>
        <v>74240.54310000001</v>
      </c>
      <c r="F15" s="43">
        <f>SUM('Op Budget 2016'!N62:P62)</f>
        <v>82540.255600000004</v>
      </c>
      <c r="G15" s="70">
        <f>SUM(C15:F15)</f>
        <v>273832.5969967742</v>
      </c>
    </row>
    <row r="16" spans="1:7" x14ac:dyDescent="0.3">
      <c r="B16" s="69"/>
      <c r="C16" s="26"/>
      <c r="D16" s="26"/>
      <c r="E16" s="26"/>
      <c r="F16" s="26"/>
      <c r="G16" s="69"/>
    </row>
    <row r="17" spans="1:7" x14ac:dyDescent="0.3">
      <c r="A17" s="40" t="s">
        <v>142</v>
      </c>
      <c r="B17" s="68">
        <f>'Op Budget 2015'!Q62+'Op Budget 2015'!Q63</f>
        <v>162222.21999999997</v>
      </c>
      <c r="C17" s="41">
        <f>SUM('Op Budget 2016'!E64:G65)</f>
        <v>40000</v>
      </c>
      <c r="D17" s="41">
        <f>SUM('Op Budget 2016'!H64:J65)</f>
        <v>57289.83</v>
      </c>
      <c r="E17" s="41">
        <f>SUM('Op Budget 2016'!K64:M65)</f>
        <v>57289.83</v>
      </c>
      <c r="F17" s="41">
        <f>SUM('Op Budget 2016'!N64:P65)</f>
        <v>57289.83</v>
      </c>
      <c r="G17" s="68">
        <f>SUM(C17:F17)</f>
        <v>211869.49</v>
      </c>
    </row>
    <row r="18" spans="1:7" x14ac:dyDescent="0.3">
      <c r="B18" s="69"/>
      <c r="C18" s="26"/>
      <c r="D18" s="26"/>
      <c r="E18" s="26"/>
      <c r="F18" s="26"/>
      <c r="G18" s="69"/>
    </row>
    <row r="19" spans="1:7" x14ac:dyDescent="0.3">
      <c r="A19" s="40" t="s">
        <v>93</v>
      </c>
      <c r="B19" s="68">
        <f>'Op Budget 2015'!Q67</f>
        <v>0</v>
      </c>
      <c r="C19" s="41">
        <f>SUM('Op Budget 2016'!E75:G75)</f>
        <v>0</v>
      </c>
      <c r="D19" s="41">
        <f>SUM('Op Budget 2016'!H75:J75)</f>
        <v>0</v>
      </c>
      <c r="E19" s="41">
        <f>SUM('Op Budget 2016'!K75:M75)</f>
        <v>0</v>
      </c>
      <c r="F19" s="41">
        <f>SUM('Op Budget 2016'!N75:P75)</f>
        <v>0</v>
      </c>
      <c r="G19" s="68">
        <f>SUM(C19:F19)</f>
        <v>0</v>
      </c>
    </row>
    <row r="20" spans="1:7" x14ac:dyDescent="0.3">
      <c r="B20" s="69"/>
      <c r="C20" s="26"/>
      <c r="D20" s="26"/>
      <c r="E20" s="26"/>
      <c r="F20" s="26"/>
      <c r="G20" s="69"/>
    </row>
    <row r="21" spans="1:7" x14ac:dyDescent="0.3">
      <c r="A21" s="40" t="s">
        <v>143</v>
      </c>
      <c r="B21" s="68">
        <v>0</v>
      </c>
      <c r="C21" s="41">
        <f>'Op Budget 2016'!E80</f>
        <v>84180.56</v>
      </c>
      <c r="D21" s="41">
        <f>'Op Budget 2016'!H80</f>
        <v>404307.07686666673</v>
      </c>
      <c r="E21" s="41">
        <f>'Op Budget 2016'!K80</f>
        <v>212964.20406092468</v>
      </c>
      <c r="F21" s="41">
        <f>'Op Budget 2016'!N80</f>
        <v>215742.40716092466</v>
      </c>
      <c r="G21" s="68">
        <f>C21</f>
        <v>84180.56</v>
      </c>
    </row>
    <row r="22" spans="1:7" x14ac:dyDescent="0.3">
      <c r="A22" s="40" t="s">
        <v>144</v>
      </c>
      <c r="B22" s="71">
        <f>'Op Budget 2015'!P73</f>
        <v>84180.56</v>
      </c>
      <c r="C22" s="41">
        <f>'Op Budget 2016'!G81</f>
        <v>404307.07686666673</v>
      </c>
      <c r="D22" s="41">
        <f>'Op Budget 2016'!J81</f>
        <v>212964.20406092468</v>
      </c>
      <c r="E22" s="41">
        <f>'Op Budget 2016'!M81</f>
        <v>215742.40716092466</v>
      </c>
      <c r="F22" s="41">
        <f>'Op Budget 2016'!P81</f>
        <v>232712.74225337588</v>
      </c>
      <c r="G22" s="71">
        <f>F22</f>
        <v>232712.74225337588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J6" sqref="J6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133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329</v>
      </c>
      <c r="E6" s="55">
        <v>329</v>
      </c>
      <c r="F6" s="55">
        <v>329</v>
      </c>
      <c r="G6" s="55">
        <v>329</v>
      </c>
      <c r="H6" s="55">
        <v>236</v>
      </c>
      <c r="I6" s="55">
        <v>236</v>
      </c>
      <c r="J6" s="55">
        <v>236</v>
      </c>
      <c r="K6" s="55">
        <v>1097</v>
      </c>
      <c r="L6" s="55">
        <v>391</v>
      </c>
      <c r="M6" s="55">
        <v>236</v>
      </c>
      <c r="N6" s="55">
        <v>236</v>
      </c>
      <c r="O6" s="55">
        <v>236</v>
      </c>
      <c r="P6" s="55">
        <f>SUM(D6:O6)</f>
        <v>4220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3" si="0">SUM(D7:O7)</f>
        <v>0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6</v>
      </c>
      <c r="B16" s="57"/>
      <c r="C16" s="58"/>
      <c r="D16" s="59">
        <f t="shared" ref="D16:M16" si="1">SUM(D6:D15)</f>
        <v>329</v>
      </c>
      <c r="E16" s="59">
        <f t="shared" si="1"/>
        <v>329</v>
      </c>
      <c r="F16" s="59">
        <f t="shared" si="1"/>
        <v>329</v>
      </c>
      <c r="G16" s="59">
        <f t="shared" si="1"/>
        <v>329</v>
      </c>
      <c r="H16" s="59">
        <f t="shared" si="1"/>
        <v>236</v>
      </c>
      <c r="I16" s="59">
        <f t="shared" si="1"/>
        <v>236</v>
      </c>
      <c r="J16" s="59">
        <f t="shared" si="1"/>
        <v>236</v>
      </c>
      <c r="K16" s="59">
        <f t="shared" si="1"/>
        <v>1097</v>
      </c>
      <c r="L16" s="59">
        <f t="shared" si="1"/>
        <v>391</v>
      </c>
      <c r="M16" s="59">
        <f t="shared" si="1"/>
        <v>236</v>
      </c>
      <c r="N16" s="59">
        <f t="shared" ref="N16:O16" si="2">SUM(N6:N15)</f>
        <v>236</v>
      </c>
      <c r="O16" s="59">
        <f t="shared" si="2"/>
        <v>236</v>
      </c>
      <c r="P16" s="59">
        <f>SUM(D16:O16)</f>
        <v>4220</v>
      </c>
      <c r="Q16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T15" sqref="T15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6" width="8.88671875" style="17"/>
    <col min="17" max="17" width="9.44140625" style="17" bestFit="1" customWidth="1"/>
    <col min="18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155</v>
      </c>
    </row>
    <row r="2" spans="1:20" x14ac:dyDescent="0.25">
      <c r="A2" s="2" t="s">
        <v>121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135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157</v>
      </c>
      <c r="B6" s="28" t="s">
        <v>156</v>
      </c>
      <c r="C6" s="54">
        <v>9384</v>
      </c>
      <c r="D6" s="60">
        <f>(P6*12)/C6</f>
        <v>18.989769820971865</v>
      </c>
      <c r="E6" s="55">
        <v>13500</v>
      </c>
      <c r="F6" s="55">
        <v>13500</v>
      </c>
      <c r="G6" s="55">
        <v>13500</v>
      </c>
      <c r="H6" s="55">
        <v>13500</v>
      </c>
      <c r="I6" s="55">
        <v>13500</v>
      </c>
      <c r="J6" s="55">
        <v>13500</v>
      </c>
      <c r="K6" s="55">
        <v>14850</v>
      </c>
      <c r="L6" s="55">
        <v>14850</v>
      </c>
      <c r="M6" s="55">
        <v>14850</v>
      </c>
      <c r="N6" s="55">
        <v>14850</v>
      </c>
      <c r="O6" s="55">
        <v>14850</v>
      </c>
      <c r="P6" s="55">
        <v>14850</v>
      </c>
      <c r="Q6" s="55">
        <f>SUM(E6:P6)</f>
        <v>170100</v>
      </c>
      <c r="R6" s="55"/>
    </row>
    <row r="7" spans="1:20" x14ac:dyDescent="0.25">
      <c r="A7" s="5" t="s">
        <v>158</v>
      </c>
      <c r="B7" s="6" t="s">
        <v>156</v>
      </c>
      <c r="C7" s="16">
        <v>2150</v>
      </c>
      <c r="D7" s="8">
        <f t="shared" ref="D7:D13" si="0">(P7*12)/C7</f>
        <v>21.996279069767443</v>
      </c>
      <c r="E7" s="17">
        <v>3941</v>
      </c>
      <c r="F7" s="17">
        <v>3941</v>
      </c>
      <c r="G7" s="17">
        <v>3941</v>
      </c>
      <c r="H7" s="17">
        <v>3941</v>
      </c>
      <c r="I7" s="17">
        <v>3941</v>
      </c>
      <c r="J7" s="17">
        <v>3941</v>
      </c>
      <c r="K7" s="17">
        <v>3941</v>
      </c>
      <c r="L7" s="17">
        <v>3941</v>
      </c>
      <c r="M7" s="17">
        <v>3941</v>
      </c>
      <c r="N7" s="17">
        <v>3941</v>
      </c>
      <c r="O7" s="17">
        <v>3941</v>
      </c>
      <c r="P7" s="17">
        <v>3941</v>
      </c>
      <c r="Q7" s="17">
        <f t="shared" ref="Q7:Q13" si="1">SUM(E7:P7)</f>
        <v>47292</v>
      </c>
    </row>
    <row r="8" spans="1:20" s="27" customFormat="1" x14ac:dyDescent="0.25">
      <c r="A8" s="27" t="s">
        <v>159</v>
      </c>
      <c r="B8" s="28" t="s">
        <v>156</v>
      </c>
      <c r="C8" s="54">
        <v>1393</v>
      </c>
      <c r="D8" s="60">
        <f t="shared" si="0"/>
        <v>20.821249102656139</v>
      </c>
      <c r="E8" s="55">
        <v>2417</v>
      </c>
      <c r="F8" s="55">
        <v>2417</v>
      </c>
      <c r="G8" s="55">
        <v>2417</v>
      </c>
      <c r="H8" s="55">
        <v>2417</v>
      </c>
      <c r="I8" s="55">
        <v>2417</v>
      </c>
      <c r="J8" s="55">
        <v>2417</v>
      </c>
      <c r="K8" s="55">
        <v>2417</v>
      </c>
      <c r="L8" s="55">
        <v>2417</v>
      </c>
      <c r="M8" s="55">
        <v>2417</v>
      </c>
      <c r="N8" s="55">
        <v>2417</v>
      </c>
      <c r="O8" s="55">
        <v>2417</v>
      </c>
      <c r="P8" s="55">
        <v>2417</v>
      </c>
      <c r="Q8" s="55">
        <f t="shared" si="1"/>
        <v>29004</v>
      </c>
      <c r="R8" s="55"/>
    </row>
    <row r="9" spans="1:20" x14ac:dyDescent="0.25">
      <c r="A9" s="5" t="s">
        <v>160</v>
      </c>
      <c r="B9" s="6" t="s">
        <v>156</v>
      </c>
      <c r="C9" s="16">
        <v>1220</v>
      </c>
      <c r="D9" s="8">
        <f t="shared" si="0"/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1"/>
        <v>0</v>
      </c>
    </row>
    <row r="10" spans="1:20" s="27" customFormat="1" x14ac:dyDescent="0.25">
      <c r="A10" s="27" t="s">
        <v>161</v>
      </c>
      <c r="B10" s="28" t="s">
        <v>156</v>
      </c>
      <c r="C10" s="54">
        <v>4000</v>
      </c>
      <c r="D10" s="60">
        <f t="shared" si="0"/>
        <v>17.001000000000001</v>
      </c>
      <c r="E10" s="55">
        <v>5667</v>
      </c>
      <c r="F10" s="55">
        <v>5667</v>
      </c>
      <c r="G10" s="55">
        <v>5667</v>
      </c>
      <c r="H10" s="55">
        <v>5667</v>
      </c>
      <c r="I10" s="55">
        <v>5667</v>
      </c>
      <c r="J10" s="55">
        <v>5667</v>
      </c>
      <c r="K10" s="55">
        <v>5667</v>
      </c>
      <c r="L10" s="55">
        <v>5667</v>
      </c>
      <c r="M10" s="55">
        <v>5667</v>
      </c>
      <c r="N10" s="55">
        <v>5667</v>
      </c>
      <c r="O10" s="55">
        <v>5667</v>
      </c>
      <c r="P10" s="55">
        <v>5667</v>
      </c>
      <c r="Q10" s="55">
        <f t="shared" si="1"/>
        <v>68004</v>
      </c>
      <c r="R10" s="55"/>
    </row>
    <row r="11" spans="1:20" x14ac:dyDescent="0.25">
      <c r="A11" s="5" t="s">
        <v>149</v>
      </c>
      <c r="B11" s="6" t="s">
        <v>156</v>
      </c>
      <c r="C11" s="16">
        <v>1215</v>
      </c>
      <c r="D11" s="8">
        <f t="shared" si="0"/>
        <v>22</v>
      </c>
      <c r="E11" s="17">
        <v>0</v>
      </c>
      <c r="F11" s="17">
        <v>0</v>
      </c>
      <c r="K11" s="17">
        <v>0</v>
      </c>
      <c r="L11" s="17">
        <v>0</v>
      </c>
      <c r="M11" s="17">
        <f>(2227.5/30)*15</f>
        <v>1113.75</v>
      </c>
      <c r="N11" s="17">
        <v>2227.5</v>
      </c>
      <c r="O11" s="17">
        <v>2227.5</v>
      </c>
      <c r="P11" s="17">
        <v>2227.5</v>
      </c>
      <c r="Q11" s="17">
        <f t="shared" si="1"/>
        <v>7796.25</v>
      </c>
      <c r="T11" s="168" t="s">
        <v>291</v>
      </c>
    </row>
    <row r="12" spans="1:20" s="27" customFormat="1" x14ac:dyDescent="0.25">
      <c r="A12" s="27" t="s">
        <v>149</v>
      </c>
      <c r="B12" s="28" t="s">
        <v>156</v>
      </c>
      <c r="C12" s="54">
        <v>1215</v>
      </c>
      <c r="D12" s="60">
        <f t="shared" si="0"/>
        <v>22</v>
      </c>
      <c r="E12" s="55">
        <v>0</v>
      </c>
      <c r="F12" s="55">
        <v>0</v>
      </c>
      <c r="G12" s="55"/>
      <c r="H12" s="55"/>
      <c r="I12" s="55"/>
      <c r="J12" s="55"/>
      <c r="K12" s="55"/>
      <c r="L12" s="55">
        <v>0</v>
      </c>
      <c r="M12" s="55">
        <v>0</v>
      </c>
      <c r="N12" s="55">
        <v>0</v>
      </c>
      <c r="O12" s="55">
        <v>2227.5</v>
      </c>
      <c r="P12" s="55">
        <v>2227.5</v>
      </c>
      <c r="Q12" s="55">
        <f t="shared" si="1"/>
        <v>4455</v>
      </c>
      <c r="R12" s="55"/>
      <c r="T12" s="169" t="s">
        <v>290</v>
      </c>
    </row>
    <row r="13" spans="1:20" x14ac:dyDescent="0.25">
      <c r="A13" s="5" t="s">
        <v>257</v>
      </c>
      <c r="B13" s="6" t="s">
        <v>156</v>
      </c>
      <c r="C13" s="16">
        <v>1320</v>
      </c>
      <c r="D13" s="8">
        <f t="shared" si="0"/>
        <v>24</v>
      </c>
      <c r="E13" s="17">
        <v>0</v>
      </c>
      <c r="F13" s="17">
        <v>0</v>
      </c>
      <c r="G13" s="17">
        <v>0</v>
      </c>
      <c r="H13" s="17">
        <v>0</v>
      </c>
      <c r="I13" s="17">
        <f>(2640/31)*14</f>
        <v>1192.258064516129</v>
      </c>
      <c r="J13" s="17">
        <v>2640</v>
      </c>
      <c r="K13" s="17">
        <v>2640</v>
      </c>
      <c r="L13" s="17">
        <v>2640</v>
      </c>
      <c r="M13" s="17">
        <v>2640</v>
      </c>
      <c r="N13" s="17">
        <v>2640</v>
      </c>
      <c r="O13" s="17">
        <v>2640</v>
      </c>
      <c r="P13" s="17">
        <v>2640</v>
      </c>
      <c r="Q13" s="17">
        <f t="shared" si="1"/>
        <v>19672.258064516129</v>
      </c>
      <c r="T13" s="168" t="s">
        <v>289</v>
      </c>
    </row>
    <row r="15" spans="1:20" x14ac:dyDescent="0.25">
      <c r="C15" s="15">
        <f>SUM(C6:C14)</f>
        <v>21897</v>
      </c>
    </row>
    <row r="16" spans="1:20" s="61" customFormat="1" x14ac:dyDescent="0.25">
      <c r="A16" s="61" t="s">
        <v>124</v>
      </c>
      <c r="B16" s="62"/>
      <c r="C16" s="63"/>
      <c r="D16" s="63"/>
      <c r="E16" s="64">
        <f t="shared" ref="E16:N16" si="2">SUM(E6:E15)</f>
        <v>25525</v>
      </c>
      <c r="F16" s="64">
        <f t="shared" si="2"/>
        <v>25525</v>
      </c>
      <c r="G16" s="64">
        <f t="shared" si="2"/>
        <v>25525</v>
      </c>
      <c r="H16" s="64">
        <f t="shared" si="2"/>
        <v>25525</v>
      </c>
      <c r="I16" s="64">
        <f t="shared" si="2"/>
        <v>26717.258064516129</v>
      </c>
      <c r="J16" s="64">
        <f t="shared" si="2"/>
        <v>28165</v>
      </c>
      <c r="K16" s="64">
        <f t="shared" si="2"/>
        <v>29515</v>
      </c>
      <c r="L16" s="64">
        <f t="shared" si="2"/>
        <v>29515</v>
      </c>
      <c r="M16" s="64">
        <f t="shared" si="2"/>
        <v>30628.75</v>
      </c>
      <c r="N16" s="64">
        <f t="shared" si="2"/>
        <v>31742.5</v>
      </c>
      <c r="O16" s="64">
        <f t="shared" ref="O16:P16" si="3">SUM(O6:O15)</f>
        <v>33970</v>
      </c>
      <c r="P16" s="64">
        <f t="shared" si="3"/>
        <v>33970</v>
      </c>
      <c r="Q16" s="64">
        <f>SUM(E16:P16)</f>
        <v>346323.50806451612</v>
      </c>
      <c r="R16" s="6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T11" sqref="T11:T13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155</v>
      </c>
    </row>
    <row r="2" spans="1:20" x14ac:dyDescent="0.25">
      <c r="A2" s="2" t="s">
        <v>130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136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157</v>
      </c>
      <c r="B6" s="28" t="s">
        <v>156</v>
      </c>
      <c r="C6" s="54">
        <v>9384</v>
      </c>
      <c r="D6" s="60">
        <f>(P6*12)/C6</f>
        <v>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>
        <f>SUM(E6:P6)</f>
        <v>0</v>
      </c>
      <c r="R6" s="55"/>
    </row>
    <row r="7" spans="1:20" x14ac:dyDescent="0.25">
      <c r="A7" s="5" t="s">
        <v>158</v>
      </c>
      <c r="B7" s="6" t="s">
        <v>156</v>
      </c>
      <c r="C7" s="16">
        <v>2150</v>
      </c>
      <c r="D7" s="8">
        <f t="shared" ref="D7:D8" si="0">(P7*12)/C7</f>
        <v>2.4446511627906977</v>
      </c>
      <c r="E7" s="17">
        <v>438</v>
      </c>
      <c r="F7" s="17">
        <v>438</v>
      </c>
      <c r="G7" s="17">
        <v>438</v>
      </c>
      <c r="H7" s="17">
        <v>438</v>
      </c>
      <c r="I7" s="17">
        <v>438</v>
      </c>
      <c r="J7" s="17">
        <v>438</v>
      </c>
      <c r="K7" s="17">
        <v>438</v>
      </c>
      <c r="L7" s="17">
        <v>438</v>
      </c>
      <c r="M7" s="17">
        <v>438</v>
      </c>
      <c r="N7" s="17">
        <v>438</v>
      </c>
      <c r="O7" s="17">
        <v>438</v>
      </c>
      <c r="P7" s="17">
        <v>438</v>
      </c>
      <c r="Q7" s="17">
        <f t="shared" ref="Q7:Q9" si="1">SUM(E7:P7)</f>
        <v>5256</v>
      </c>
    </row>
    <row r="8" spans="1:20" s="27" customFormat="1" x14ac:dyDescent="0.25">
      <c r="A8" s="27" t="s">
        <v>159</v>
      </c>
      <c r="B8" s="28" t="s">
        <v>156</v>
      </c>
      <c r="C8" s="54">
        <v>1393</v>
      </c>
      <c r="D8" s="60">
        <f t="shared" si="0"/>
        <v>5.6941852117731511</v>
      </c>
      <c r="E8" s="55">
        <v>661</v>
      </c>
      <c r="F8" s="55">
        <v>661</v>
      </c>
      <c r="G8" s="55">
        <v>661</v>
      </c>
      <c r="H8" s="55">
        <v>661</v>
      </c>
      <c r="I8" s="55">
        <v>661</v>
      </c>
      <c r="J8" s="55">
        <v>661</v>
      </c>
      <c r="K8" s="55">
        <v>661</v>
      </c>
      <c r="L8" s="55">
        <v>661</v>
      </c>
      <c r="M8" s="55">
        <v>661</v>
      </c>
      <c r="N8" s="55">
        <v>661</v>
      </c>
      <c r="O8" s="55">
        <v>661</v>
      </c>
      <c r="P8" s="55">
        <v>661</v>
      </c>
      <c r="Q8" s="55">
        <f t="shared" si="1"/>
        <v>7932</v>
      </c>
      <c r="R8" s="55"/>
    </row>
    <row r="9" spans="1:20" x14ac:dyDescent="0.25">
      <c r="A9" s="5" t="s">
        <v>160</v>
      </c>
      <c r="B9" s="6" t="s">
        <v>156</v>
      </c>
      <c r="C9" s="16">
        <v>1220</v>
      </c>
      <c r="D9" s="8">
        <f>(P9*12)/C9</f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95">
        <f t="shared" si="1"/>
        <v>0</v>
      </c>
    </row>
    <row r="10" spans="1:20" s="27" customFormat="1" x14ac:dyDescent="0.25">
      <c r="A10" s="27" t="s">
        <v>161</v>
      </c>
      <c r="B10" s="28" t="s">
        <v>156</v>
      </c>
      <c r="C10" s="54">
        <v>4000</v>
      </c>
      <c r="D10" s="60">
        <f>(P10*12)/C10</f>
        <v>3.1379999999999999</v>
      </c>
      <c r="E10" s="55">
        <v>1046</v>
      </c>
      <c r="F10" s="55">
        <v>1046</v>
      </c>
      <c r="G10" s="55">
        <v>1046</v>
      </c>
      <c r="H10" s="55">
        <v>1046</v>
      </c>
      <c r="I10" s="55">
        <v>1046</v>
      </c>
      <c r="J10" s="55">
        <v>1046</v>
      </c>
      <c r="K10" s="55">
        <v>1046</v>
      </c>
      <c r="L10" s="55">
        <v>1046</v>
      </c>
      <c r="M10" s="55">
        <v>1046</v>
      </c>
      <c r="N10" s="55">
        <v>1046</v>
      </c>
      <c r="O10" s="55">
        <v>1046</v>
      </c>
      <c r="P10" s="55">
        <v>1046</v>
      </c>
      <c r="Q10" s="55">
        <f>SUM(E10:P10)</f>
        <v>12552</v>
      </c>
      <c r="R10" s="55"/>
    </row>
    <row r="11" spans="1:20" x14ac:dyDescent="0.25">
      <c r="A11" s="5" t="s">
        <v>149</v>
      </c>
      <c r="B11" s="6" t="s">
        <v>156</v>
      </c>
      <c r="C11" s="16">
        <v>1215</v>
      </c>
      <c r="D11" s="8">
        <f>(P11*12)/C11</f>
        <v>3.1012345679012348</v>
      </c>
      <c r="E11" s="95">
        <v>0</v>
      </c>
      <c r="F11" s="95">
        <v>0</v>
      </c>
      <c r="G11" s="95"/>
      <c r="H11" s="95"/>
      <c r="I11" s="95"/>
      <c r="J11" s="95"/>
      <c r="K11" s="95">
        <v>0</v>
      </c>
      <c r="L11" s="95">
        <v>0</v>
      </c>
      <c r="M11" s="95">
        <v>157</v>
      </c>
      <c r="N11" s="95">
        <v>314</v>
      </c>
      <c r="O11" s="95">
        <v>314</v>
      </c>
      <c r="P11" s="95">
        <v>314</v>
      </c>
      <c r="Q11" s="95">
        <f t="shared" ref="Q11:Q13" si="2">SUM(E11:P11)</f>
        <v>1099</v>
      </c>
      <c r="T11" s="168" t="s">
        <v>291</v>
      </c>
    </row>
    <row r="12" spans="1:20" s="27" customFormat="1" x14ac:dyDescent="0.25">
      <c r="A12" s="27" t="s">
        <v>149</v>
      </c>
      <c r="B12" s="28" t="s">
        <v>156</v>
      </c>
      <c r="C12" s="54">
        <v>1215</v>
      </c>
      <c r="D12" s="60">
        <f>(P12*12)/C12</f>
        <v>3.1012345679012348</v>
      </c>
      <c r="E12" s="55">
        <v>0</v>
      </c>
      <c r="F12" s="55">
        <v>0</v>
      </c>
      <c r="G12" s="55"/>
      <c r="H12" s="55"/>
      <c r="I12" s="55"/>
      <c r="J12" s="55"/>
      <c r="K12" s="55"/>
      <c r="L12" s="55">
        <v>0</v>
      </c>
      <c r="M12" s="55">
        <v>0</v>
      </c>
      <c r="N12" s="55">
        <v>0</v>
      </c>
      <c r="O12" s="55">
        <v>314</v>
      </c>
      <c r="P12" s="55">
        <v>314</v>
      </c>
      <c r="Q12" s="55">
        <f t="shared" si="2"/>
        <v>628</v>
      </c>
      <c r="R12" s="55"/>
      <c r="T12" s="169" t="s">
        <v>290</v>
      </c>
    </row>
    <row r="13" spans="1:20" x14ac:dyDescent="0.25">
      <c r="A13" s="5" t="s">
        <v>257</v>
      </c>
      <c r="B13" s="6" t="s">
        <v>156</v>
      </c>
      <c r="C13" s="16">
        <v>1320</v>
      </c>
      <c r="D13" s="8">
        <f>(P13*12)/C13</f>
        <v>3.1272727272727274</v>
      </c>
      <c r="E13" s="95">
        <v>0</v>
      </c>
      <c r="F13" s="95">
        <v>0</v>
      </c>
      <c r="G13" s="95">
        <v>0</v>
      </c>
      <c r="H13" s="95"/>
      <c r="I13" s="95">
        <f>(344/31)*14</f>
        <v>155.35483870967744</v>
      </c>
      <c r="J13" s="95">
        <v>344</v>
      </c>
      <c r="K13" s="95">
        <v>344</v>
      </c>
      <c r="L13" s="95">
        <v>344</v>
      </c>
      <c r="M13" s="95">
        <v>344</v>
      </c>
      <c r="N13" s="95">
        <v>344</v>
      </c>
      <c r="O13" s="95">
        <v>344</v>
      </c>
      <c r="P13" s="95">
        <v>344</v>
      </c>
      <c r="Q13" s="95">
        <f t="shared" si="2"/>
        <v>2563.3548387096776</v>
      </c>
      <c r="T13" s="168" t="s">
        <v>289</v>
      </c>
    </row>
    <row r="15" spans="1:20" x14ac:dyDescent="0.25">
      <c r="C15" s="15">
        <f>SUM(C6:C14)</f>
        <v>21897</v>
      </c>
    </row>
    <row r="16" spans="1:20" s="56" customFormat="1" x14ac:dyDescent="0.25">
      <c r="A16" s="56" t="s">
        <v>2</v>
      </c>
      <c r="B16" s="57"/>
      <c r="C16" s="58"/>
      <c r="D16" s="58"/>
      <c r="E16" s="59">
        <f t="shared" ref="E16:N16" si="3">SUM(E6:E15)</f>
        <v>2145</v>
      </c>
      <c r="F16" s="59">
        <f t="shared" si="3"/>
        <v>2145</v>
      </c>
      <c r="G16" s="59">
        <f t="shared" si="3"/>
        <v>2145</v>
      </c>
      <c r="H16" s="59">
        <f t="shared" si="3"/>
        <v>2145</v>
      </c>
      <c r="I16" s="59">
        <f t="shared" si="3"/>
        <v>2300.3548387096776</v>
      </c>
      <c r="J16" s="59">
        <f t="shared" si="3"/>
        <v>2489</v>
      </c>
      <c r="K16" s="59">
        <f t="shared" si="3"/>
        <v>2489</v>
      </c>
      <c r="L16" s="59">
        <f t="shared" si="3"/>
        <v>2489</v>
      </c>
      <c r="M16" s="59">
        <f t="shared" si="3"/>
        <v>2646</v>
      </c>
      <c r="N16" s="59">
        <f t="shared" si="3"/>
        <v>2803</v>
      </c>
      <c r="O16" s="59">
        <f t="shared" ref="O16:P16" si="4">SUM(O6:O15)</f>
        <v>3117</v>
      </c>
      <c r="P16" s="59">
        <f t="shared" si="4"/>
        <v>3117</v>
      </c>
      <c r="Q16" s="59">
        <f>SUM(E16:P16)</f>
        <v>30030.354838709678</v>
      </c>
      <c r="R16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16" sqref="N16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155</v>
      </c>
    </row>
    <row r="2" spans="1:20" x14ac:dyDescent="0.25">
      <c r="A2" s="2" t="s">
        <v>131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137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157</v>
      </c>
      <c r="B6" s="28" t="s">
        <v>156</v>
      </c>
      <c r="C6" s="54">
        <v>9384</v>
      </c>
      <c r="D6" s="60">
        <f>Q6/C6</f>
        <v>4.0664961636828645</v>
      </c>
      <c r="E6" s="55">
        <v>3180</v>
      </c>
      <c r="F6" s="55">
        <v>3180</v>
      </c>
      <c r="G6" s="55">
        <v>3180</v>
      </c>
      <c r="H6" s="55">
        <v>3180</v>
      </c>
      <c r="I6" s="55">
        <v>3180</v>
      </c>
      <c r="J6" s="55">
        <v>3180</v>
      </c>
      <c r="K6" s="55">
        <v>3180</v>
      </c>
      <c r="L6" s="55">
        <v>3180</v>
      </c>
      <c r="M6" s="55">
        <v>3180</v>
      </c>
      <c r="N6" s="55">
        <v>3180</v>
      </c>
      <c r="O6" s="55">
        <v>3180</v>
      </c>
      <c r="P6" s="55">
        <v>3180</v>
      </c>
      <c r="Q6" s="55">
        <f>SUM(E6:P6)</f>
        <v>38160</v>
      </c>
      <c r="R6" s="55"/>
    </row>
    <row r="7" spans="1:20" x14ac:dyDescent="0.25">
      <c r="A7" s="5" t="s">
        <v>158</v>
      </c>
      <c r="B7" s="6" t="s">
        <v>156</v>
      </c>
      <c r="C7" s="16">
        <v>2150</v>
      </c>
      <c r="D7" s="8">
        <f t="shared" ref="D7:D13" si="0">Q7/C7</f>
        <v>3.9906976744186045</v>
      </c>
      <c r="E7" s="17">
        <v>715</v>
      </c>
      <c r="F7" s="17">
        <v>715</v>
      </c>
      <c r="G7" s="17">
        <v>715</v>
      </c>
      <c r="H7" s="17">
        <v>715</v>
      </c>
      <c r="I7" s="17">
        <v>715</v>
      </c>
      <c r="J7" s="17">
        <v>715</v>
      </c>
      <c r="K7" s="17">
        <v>715</v>
      </c>
      <c r="L7" s="17">
        <v>715</v>
      </c>
      <c r="M7" s="17">
        <v>715</v>
      </c>
      <c r="N7" s="17">
        <v>715</v>
      </c>
      <c r="O7" s="17">
        <v>715</v>
      </c>
      <c r="P7" s="17">
        <v>715</v>
      </c>
      <c r="Q7" s="17">
        <f t="shared" ref="Q7:Q13" si="1">SUM(E7:P7)</f>
        <v>8580</v>
      </c>
    </row>
    <row r="8" spans="1:20" s="27" customFormat="1" x14ac:dyDescent="0.25">
      <c r="A8" s="27" t="s">
        <v>159</v>
      </c>
      <c r="B8" s="28" t="s">
        <v>156</v>
      </c>
      <c r="C8" s="54">
        <v>1393</v>
      </c>
      <c r="D8" s="60">
        <f t="shared" si="0"/>
        <v>7.0380473797559224</v>
      </c>
      <c r="E8" s="55">
        <v>817</v>
      </c>
      <c r="F8" s="55">
        <v>817</v>
      </c>
      <c r="G8" s="55">
        <v>817</v>
      </c>
      <c r="H8" s="55">
        <v>817</v>
      </c>
      <c r="I8" s="55">
        <v>817</v>
      </c>
      <c r="J8" s="55">
        <v>817</v>
      </c>
      <c r="K8" s="55">
        <v>817</v>
      </c>
      <c r="L8" s="55">
        <v>817</v>
      </c>
      <c r="M8" s="55">
        <v>817</v>
      </c>
      <c r="N8" s="55">
        <v>817</v>
      </c>
      <c r="O8" s="55">
        <v>817</v>
      </c>
      <c r="P8" s="55">
        <v>817</v>
      </c>
      <c r="Q8" s="55">
        <f t="shared" si="1"/>
        <v>9804</v>
      </c>
      <c r="R8" s="55"/>
    </row>
    <row r="9" spans="1:20" x14ac:dyDescent="0.25">
      <c r="A9" s="5" t="s">
        <v>160</v>
      </c>
      <c r="B9" s="6" t="s">
        <v>156</v>
      </c>
      <c r="C9" s="16">
        <v>1220</v>
      </c>
      <c r="D9" s="8">
        <f t="shared" si="0"/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1"/>
        <v>0</v>
      </c>
    </row>
    <row r="10" spans="1:20" s="27" customFormat="1" x14ac:dyDescent="0.25">
      <c r="A10" s="27" t="s">
        <v>161</v>
      </c>
      <c r="B10" s="28" t="s">
        <v>156</v>
      </c>
      <c r="C10" s="54">
        <v>4000</v>
      </c>
      <c r="D10" s="60">
        <f t="shared" si="0"/>
        <v>3.8849999999999998</v>
      </c>
      <c r="E10" s="55">
        <v>1295</v>
      </c>
      <c r="F10" s="55">
        <v>1295</v>
      </c>
      <c r="G10" s="55">
        <v>1295</v>
      </c>
      <c r="H10" s="55">
        <v>1295</v>
      </c>
      <c r="I10" s="55">
        <v>1295</v>
      </c>
      <c r="J10" s="55">
        <v>1295</v>
      </c>
      <c r="K10" s="55">
        <v>1295</v>
      </c>
      <c r="L10" s="55">
        <v>1295</v>
      </c>
      <c r="M10" s="55">
        <v>1295</v>
      </c>
      <c r="N10" s="55">
        <v>1295</v>
      </c>
      <c r="O10" s="55">
        <v>1295</v>
      </c>
      <c r="P10" s="55">
        <v>1295</v>
      </c>
      <c r="Q10" s="55">
        <f t="shared" si="1"/>
        <v>15540</v>
      </c>
      <c r="R10" s="55"/>
    </row>
    <row r="11" spans="1:20" x14ac:dyDescent="0.25">
      <c r="A11" s="5" t="s">
        <v>149</v>
      </c>
      <c r="B11" s="6" t="s">
        <v>156</v>
      </c>
      <c r="C11" s="16">
        <v>1215</v>
      </c>
      <c r="D11" s="8">
        <f t="shared" si="0"/>
        <v>1.1292181069958849</v>
      </c>
      <c r="E11" s="17">
        <v>0</v>
      </c>
      <c r="F11" s="17">
        <v>0</v>
      </c>
      <c r="K11" s="17">
        <v>0</v>
      </c>
      <c r="L11" s="17">
        <v>0</v>
      </c>
      <c r="M11" s="17">
        <f>392/2</f>
        <v>196</v>
      </c>
      <c r="N11" s="17">
        <v>392</v>
      </c>
      <c r="O11" s="17">
        <v>392</v>
      </c>
      <c r="P11" s="17">
        <v>392</v>
      </c>
      <c r="Q11" s="17">
        <f t="shared" si="1"/>
        <v>1372</v>
      </c>
      <c r="T11" s="168" t="s">
        <v>291</v>
      </c>
    </row>
    <row r="12" spans="1:20" s="27" customFormat="1" x14ac:dyDescent="0.25">
      <c r="A12" s="27" t="s">
        <v>149</v>
      </c>
      <c r="B12" s="28" t="s">
        <v>156</v>
      </c>
      <c r="C12" s="54">
        <v>1215</v>
      </c>
      <c r="D12" s="60">
        <f t="shared" si="0"/>
        <v>0.64526748971193415</v>
      </c>
      <c r="E12" s="55">
        <v>0</v>
      </c>
      <c r="F12" s="55">
        <v>0</v>
      </c>
      <c r="G12" s="55"/>
      <c r="H12" s="55"/>
      <c r="I12" s="55"/>
      <c r="J12" s="55"/>
      <c r="K12" s="55"/>
      <c r="L12" s="55">
        <v>0</v>
      </c>
      <c r="M12" s="55">
        <v>0</v>
      </c>
      <c r="N12" s="55">
        <v>0</v>
      </c>
      <c r="O12" s="55">
        <v>392</v>
      </c>
      <c r="P12" s="55">
        <v>392</v>
      </c>
      <c r="Q12" s="55">
        <f t="shared" si="1"/>
        <v>784</v>
      </c>
      <c r="R12" s="55"/>
      <c r="T12" s="169" t="s">
        <v>290</v>
      </c>
    </row>
    <row r="13" spans="1:20" x14ac:dyDescent="0.25">
      <c r="A13" s="5" t="s">
        <v>257</v>
      </c>
      <c r="B13" s="6" t="s">
        <v>156</v>
      </c>
      <c r="C13" s="16">
        <v>1320</v>
      </c>
      <c r="D13" s="8">
        <f t="shared" si="0"/>
        <v>2.4217741935483872</v>
      </c>
      <c r="E13" s="17">
        <v>0</v>
      </c>
      <c r="F13" s="17">
        <v>0</v>
      </c>
      <c r="G13" s="17">
        <v>0</v>
      </c>
      <c r="I13" s="17">
        <f>(429/31)*14</f>
        <v>193.74193548387095</v>
      </c>
      <c r="J13" s="17">
        <v>429</v>
      </c>
      <c r="K13" s="17">
        <v>429</v>
      </c>
      <c r="L13" s="17">
        <v>429</v>
      </c>
      <c r="M13" s="17">
        <v>429</v>
      </c>
      <c r="N13" s="17">
        <v>429</v>
      </c>
      <c r="O13" s="17">
        <v>429</v>
      </c>
      <c r="P13" s="17">
        <v>429</v>
      </c>
      <c r="Q13" s="17">
        <f t="shared" si="1"/>
        <v>3196.7419354838712</v>
      </c>
      <c r="T13" s="168" t="s">
        <v>289</v>
      </c>
    </row>
    <row r="15" spans="1:20" x14ac:dyDescent="0.25">
      <c r="C15" s="15">
        <f>SUM(C6:C14)</f>
        <v>21897</v>
      </c>
    </row>
    <row r="16" spans="1:20" s="56" customFormat="1" x14ac:dyDescent="0.25">
      <c r="A16" s="56" t="s">
        <v>134</v>
      </c>
      <c r="B16" s="57"/>
      <c r="C16" s="58"/>
      <c r="D16" s="58"/>
      <c r="E16" s="59">
        <f t="shared" ref="E16:N16" si="2">SUM(E6:E15)</f>
        <v>6007</v>
      </c>
      <c r="F16" s="59">
        <f t="shared" si="2"/>
        <v>6007</v>
      </c>
      <c r="G16" s="59">
        <f t="shared" si="2"/>
        <v>6007</v>
      </c>
      <c r="H16" s="59">
        <f t="shared" si="2"/>
        <v>6007</v>
      </c>
      <c r="I16" s="59">
        <f t="shared" si="2"/>
        <v>6200.7419354838712</v>
      </c>
      <c r="J16" s="59">
        <f t="shared" si="2"/>
        <v>6436</v>
      </c>
      <c r="K16" s="59">
        <f t="shared" si="2"/>
        <v>6436</v>
      </c>
      <c r="L16" s="59">
        <f t="shared" si="2"/>
        <v>6436</v>
      </c>
      <c r="M16" s="59">
        <f t="shared" si="2"/>
        <v>6632</v>
      </c>
      <c r="N16" s="59">
        <f t="shared" si="2"/>
        <v>6828</v>
      </c>
      <c r="O16" s="59">
        <f t="shared" ref="O16:P16" si="3">SUM(O6:O15)</f>
        <v>7220</v>
      </c>
      <c r="P16" s="59">
        <f t="shared" si="3"/>
        <v>7220</v>
      </c>
      <c r="Q16" s="59">
        <f>SUM(E16:P16)</f>
        <v>77436.741935483878</v>
      </c>
      <c r="R16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4" sqref="A14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133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42370</v>
      </c>
      <c r="E4" s="19">
        <v>42401</v>
      </c>
      <c r="F4" s="19">
        <v>42430</v>
      </c>
      <c r="G4" s="19">
        <v>42461</v>
      </c>
      <c r="H4" s="19">
        <v>42491</v>
      </c>
      <c r="I4" s="19">
        <v>42522</v>
      </c>
      <c r="J4" s="19">
        <v>42552</v>
      </c>
      <c r="K4" s="19">
        <v>42583</v>
      </c>
      <c r="L4" s="19">
        <v>42614</v>
      </c>
      <c r="M4" s="19">
        <v>42644</v>
      </c>
      <c r="N4" s="19">
        <v>42675</v>
      </c>
      <c r="O4" s="19">
        <v>42705</v>
      </c>
      <c r="P4" s="18" t="s">
        <v>106</v>
      </c>
      <c r="Q4" s="18" t="s">
        <v>99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390</v>
      </c>
      <c r="E6" s="55">
        <v>390</v>
      </c>
      <c r="F6" s="55">
        <v>390</v>
      </c>
      <c r="G6" s="55">
        <v>390</v>
      </c>
      <c r="H6" s="55">
        <v>390</v>
      </c>
      <c r="I6" s="55">
        <v>390</v>
      </c>
      <c r="J6" s="55">
        <v>390</v>
      </c>
      <c r="K6" s="55">
        <v>390</v>
      </c>
      <c r="L6" s="55">
        <v>390</v>
      </c>
      <c r="M6" s="55">
        <v>390</v>
      </c>
      <c r="N6" s="55">
        <v>390</v>
      </c>
      <c r="O6" s="55">
        <v>390</v>
      </c>
      <c r="P6" s="55">
        <f>SUM(D6:O6)</f>
        <v>4680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3" si="0">SUM(D7:O7)</f>
        <v>0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257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6</v>
      </c>
      <c r="B16" s="57"/>
      <c r="C16" s="58"/>
      <c r="D16" s="59">
        <f t="shared" ref="D16:M16" si="1">SUM(D6:D15)</f>
        <v>390</v>
      </c>
      <c r="E16" s="59">
        <f t="shared" si="1"/>
        <v>390</v>
      </c>
      <c r="F16" s="59">
        <f t="shared" si="1"/>
        <v>390</v>
      </c>
      <c r="G16" s="59">
        <f t="shared" si="1"/>
        <v>390</v>
      </c>
      <c r="H16" s="59">
        <f t="shared" si="1"/>
        <v>390</v>
      </c>
      <c r="I16" s="59">
        <f t="shared" si="1"/>
        <v>390</v>
      </c>
      <c r="J16" s="59">
        <f t="shared" si="1"/>
        <v>390</v>
      </c>
      <c r="K16" s="59">
        <f t="shared" si="1"/>
        <v>390</v>
      </c>
      <c r="L16" s="59">
        <f t="shared" si="1"/>
        <v>390</v>
      </c>
      <c r="M16" s="59">
        <f t="shared" si="1"/>
        <v>390</v>
      </c>
      <c r="N16" s="59">
        <f t="shared" ref="N16:O16" si="2">SUM(N6:N15)</f>
        <v>390</v>
      </c>
      <c r="O16" s="59">
        <f t="shared" si="2"/>
        <v>390</v>
      </c>
      <c r="P16" s="59">
        <f>SUM(D16:O16)</f>
        <v>4680</v>
      </c>
      <c r="Q16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="80" zoomScaleNormal="80" workbookViewId="0">
      <pane xSplit="3" ySplit="3" topLeftCell="D39" activePane="bottomRight" state="frozen"/>
      <selection pane="topRight" activeCell="D1" sqref="D1"/>
      <selection pane="bottomLeft" activeCell="A4" sqref="A4"/>
      <selection pane="bottomRight" activeCell="P72" sqref="P72"/>
    </sheetView>
  </sheetViews>
  <sheetFormatPr defaultRowHeight="15" x14ac:dyDescent="0.25"/>
  <cols>
    <col min="1" max="1" width="33.44140625" style="1" customWidth="1"/>
    <col min="2" max="2" width="8.88671875" style="4"/>
    <col min="3" max="3" width="10.21875" style="4" bestFit="1" customWidth="1"/>
    <col min="4" max="4" width="10.21875" style="77" customWidth="1"/>
    <col min="5" max="16" width="8.88671875" style="9"/>
    <col min="17" max="17" width="8.88671875" style="72"/>
    <col min="18" max="19" width="8.88671875" style="9"/>
    <col min="20" max="20" width="50.77734375" style="1" customWidth="1"/>
    <col min="21" max="16384" width="8.88671875" style="1"/>
  </cols>
  <sheetData>
    <row r="1" spans="1:20" x14ac:dyDescent="0.25">
      <c r="A1" s="2" t="s">
        <v>154</v>
      </c>
    </row>
    <row r="3" spans="1:20" s="7" customFormat="1" x14ac:dyDescent="0.25">
      <c r="A3" s="7" t="s">
        <v>132</v>
      </c>
      <c r="D3" s="78" t="s">
        <v>98</v>
      </c>
      <c r="E3" s="10">
        <v>42005</v>
      </c>
      <c r="F3" s="10">
        <v>42036</v>
      </c>
      <c r="G3" s="10">
        <v>42064</v>
      </c>
      <c r="H3" s="10">
        <v>42095</v>
      </c>
      <c r="I3" s="10">
        <v>42125</v>
      </c>
      <c r="J3" s="10">
        <v>42156</v>
      </c>
      <c r="K3" s="10">
        <v>42186</v>
      </c>
      <c r="L3" s="10">
        <v>42217</v>
      </c>
      <c r="M3" s="10">
        <v>42248</v>
      </c>
      <c r="N3" s="10">
        <v>42278</v>
      </c>
      <c r="O3" s="10">
        <v>42309</v>
      </c>
      <c r="P3" s="10">
        <v>42339</v>
      </c>
      <c r="Q3" s="73" t="s">
        <v>99</v>
      </c>
      <c r="R3" s="11">
        <v>2014</v>
      </c>
      <c r="S3" s="10" t="s">
        <v>100</v>
      </c>
      <c r="T3" s="7" t="s">
        <v>101</v>
      </c>
    </row>
    <row r="4" spans="1:20" s="30" customFormat="1" x14ac:dyDescent="0.25">
      <c r="A4" s="27" t="s">
        <v>107</v>
      </c>
      <c r="B4" s="28" t="s">
        <v>156</v>
      </c>
      <c r="C4" s="28" t="s">
        <v>1</v>
      </c>
      <c r="D4" s="79"/>
      <c r="E4" s="29">
        <f>'Min Rent 2015'!D16</f>
        <v>13500</v>
      </c>
      <c r="F4" s="29">
        <f>'Min Rent 2015'!E16</f>
        <v>13500</v>
      </c>
      <c r="G4" s="29">
        <f>'Min Rent 2015'!F16</f>
        <v>13500</v>
      </c>
      <c r="H4" s="29">
        <f>'Min Rent 2015'!G16</f>
        <v>13500</v>
      </c>
      <c r="I4" s="29">
        <f>'Min Rent 2015'!H16</f>
        <v>13500</v>
      </c>
      <c r="J4" s="29">
        <f>'Min Rent 2015'!I16</f>
        <v>13500</v>
      </c>
      <c r="K4" s="29">
        <f>'Min Rent 2015'!J16</f>
        <v>13500</v>
      </c>
      <c r="L4" s="29">
        <f>'Min Rent 2015'!K16</f>
        <v>15187</v>
      </c>
      <c r="M4" s="29">
        <f>'Min Rent 2015'!L16</f>
        <v>18750.5</v>
      </c>
      <c r="N4" s="29">
        <f>'Min Rent 2015'!M16</f>
        <v>25525</v>
      </c>
      <c r="O4" s="29">
        <f>'Min Rent 2015'!N16</f>
        <v>25525</v>
      </c>
      <c r="P4" s="29">
        <f>'Min Rent 2015'!O16</f>
        <v>25525</v>
      </c>
      <c r="Q4" s="74">
        <f>SUM(E4:P4)</f>
        <v>205012.5</v>
      </c>
      <c r="R4" s="29"/>
      <c r="S4" s="29"/>
    </row>
    <row r="5" spans="1:20" x14ac:dyDescent="0.25">
      <c r="A5" s="5" t="s">
        <v>2</v>
      </c>
      <c r="B5" s="6" t="s">
        <v>156</v>
      </c>
      <c r="C5" s="6" t="s">
        <v>3</v>
      </c>
      <c r="D5" s="80"/>
      <c r="E5" s="9">
        <f>'CAM 2015'!D16</f>
        <v>219</v>
      </c>
      <c r="F5" s="9">
        <f>'CAM 2015'!E16</f>
        <v>219</v>
      </c>
      <c r="G5" s="9">
        <f>'CAM 2015'!F16</f>
        <v>219</v>
      </c>
      <c r="H5" s="9">
        <f>'CAM 2015'!G16</f>
        <v>219</v>
      </c>
      <c r="I5" s="9">
        <f>'CAM 2015'!H16</f>
        <v>219</v>
      </c>
      <c r="J5" s="9">
        <f>'CAM 2015'!I16</f>
        <v>438</v>
      </c>
      <c r="K5" s="9">
        <f>'CAM 2015'!J16</f>
        <v>438</v>
      </c>
      <c r="L5" s="9">
        <f>'CAM 2015'!K16</f>
        <v>1099</v>
      </c>
      <c r="M5" s="9">
        <f>'CAM 2015'!L16</f>
        <v>2146</v>
      </c>
      <c r="N5" s="9">
        <f>'CAM 2015'!M16</f>
        <v>2146</v>
      </c>
      <c r="O5" s="9">
        <f>'CAM 2015'!N16</f>
        <v>2146</v>
      </c>
      <c r="P5" s="9">
        <f>'CAM 2015'!O16</f>
        <v>2146</v>
      </c>
      <c r="Q5" s="72">
        <f t="shared" ref="Q5:Q8" si="0">SUM(E5:P5)</f>
        <v>11654</v>
      </c>
    </row>
    <row r="6" spans="1:20" s="30" customFormat="1" x14ac:dyDescent="0.25">
      <c r="A6" s="27" t="s">
        <v>4</v>
      </c>
      <c r="B6" s="28" t="s">
        <v>156</v>
      </c>
      <c r="C6" s="28" t="s">
        <v>5</v>
      </c>
      <c r="D6" s="79"/>
      <c r="E6" s="29">
        <f>'RETaxes 2015'!D16</f>
        <v>3087</v>
      </c>
      <c r="F6" s="29">
        <f>'RETaxes 2015'!E16</f>
        <v>3087</v>
      </c>
      <c r="G6" s="29">
        <f>'RETaxes 2015'!F16</f>
        <v>3087</v>
      </c>
      <c r="H6" s="29">
        <f>'RETaxes 2015'!G16</f>
        <v>3087</v>
      </c>
      <c r="I6" s="29">
        <f>'RETaxes 2015'!H16</f>
        <v>3181</v>
      </c>
      <c r="J6" s="29">
        <f>'RETaxes 2015'!I16</f>
        <v>3180</v>
      </c>
      <c r="K6" s="29">
        <f>'RETaxes 2015'!J16</f>
        <v>3180</v>
      </c>
      <c r="L6" s="29">
        <f>'RETaxes 2015'!K16</f>
        <v>1448</v>
      </c>
      <c r="M6" s="29">
        <f>'RETaxes 2015'!L16</f>
        <v>5782</v>
      </c>
      <c r="N6" s="29">
        <f>'RETaxes 2015'!M16</f>
        <v>5975</v>
      </c>
      <c r="O6" s="29">
        <f>'RETaxes 2015'!N16</f>
        <v>5975</v>
      </c>
      <c r="P6" s="29">
        <f>'RETaxes 2015'!O16</f>
        <v>5975</v>
      </c>
      <c r="Q6" s="74">
        <f t="shared" si="0"/>
        <v>47044</v>
      </c>
      <c r="R6" s="29"/>
      <c r="S6" s="29"/>
    </row>
    <row r="7" spans="1:20" x14ac:dyDescent="0.25">
      <c r="A7" s="5" t="s">
        <v>6</v>
      </c>
      <c r="B7" s="6" t="s">
        <v>156</v>
      </c>
      <c r="C7" s="6" t="s">
        <v>7</v>
      </c>
      <c r="D7" s="80"/>
      <c r="E7" s="9">
        <f>'Ins 2015'!D16</f>
        <v>329</v>
      </c>
      <c r="F7" s="9">
        <f>'Ins 2015'!E16</f>
        <v>329</v>
      </c>
      <c r="G7" s="9">
        <f>'Ins 2015'!F16</f>
        <v>329</v>
      </c>
      <c r="H7" s="9">
        <f>'Ins 2015'!G16</f>
        <v>329</v>
      </c>
      <c r="I7" s="9">
        <f>'Ins 2015'!H16</f>
        <v>236</v>
      </c>
      <c r="J7" s="9">
        <f>'Ins 2015'!I16</f>
        <v>236</v>
      </c>
      <c r="K7" s="9">
        <f>'Ins 2015'!J16</f>
        <v>236</v>
      </c>
      <c r="L7" s="9">
        <f>'Ins 2015'!K16</f>
        <v>1097</v>
      </c>
      <c r="M7" s="9">
        <f>'Ins 2015'!L16</f>
        <v>391</v>
      </c>
      <c r="N7" s="9">
        <f>'Ins 2015'!M16</f>
        <v>236</v>
      </c>
      <c r="O7" s="9">
        <f>'Ins 2015'!N16</f>
        <v>236</v>
      </c>
      <c r="P7" s="9">
        <f>'Ins 2015'!O16</f>
        <v>236</v>
      </c>
      <c r="Q7" s="72">
        <f t="shared" si="0"/>
        <v>4220</v>
      </c>
    </row>
    <row r="8" spans="1:20" s="30" customFormat="1" x14ac:dyDescent="0.25">
      <c r="A8" s="27" t="s">
        <v>8</v>
      </c>
      <c r="B8" s="28" t="s">
        <v>156</v>
      </c>
      <c r="C8" s="28" t="s">
        <v>9</v>
      </c>
      <c r="D8" s="79"/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74">
        <f t="shared" si="0"/>
        <v>0</v>
      </c>
      <c r="R8" s="29"/>
      <c r="S8" s="29"/>
    </row>
    <row r="10" spans="1:20" s="33" customFormat="1" x14ac:dyDescent="0.25">
      <c r="A10" s="33" t="s">
        <v>10</v>
      </c>
      <c r="B10" s="34"/>
      <c r="C10" s="34"/>
      <c r="D10" s="81"/>
      <c r="E10" s="36">
        <f>SUM(E4:E9)</f>
        <v>17135</v>
      </c>
      <c r="F10" s="36">
        <f t="shared" ref="F10:P10" si="1">SUM(F4:F9)</f>
        <v>17135</v>
      </c>
      <c r="G10" s="36">
        <f t="shared" si="1"/>
        <v>17135</v>
      </c>
      <c r="H10" s="36">
        <f t="shared" si="1"/>
        <v>17135</v>
      </c>
      <c r="I10" s="36">
        <f t="shared" si="1"/>
        <v>17136</v>
      </c>
      <c r="J10" s="36">
        <f t="shared" si="1"/>
        <v>17354</v>
      </c>
      <c r="K10" s="36">
        <f t="shared" si="1"/>
        <v>17354</v>
      </c>
      <c r="L10" s="36">
        <f t="shared" si="1"/>
        <v>18831</v>
      </c>
      <c r="M10" s="36">
        <f t="shared" si="1"/>
        <v>27069.5</v>
      </c>
      <c r="N10" s="36">
        <f t="shared" si="1"/>
        <v>33882</v>
      </c>
      <c r="O10" s="36">
        <f t="shared" si="1"/>
        <v>33882</v>
      </c>
      <c r="P10" s="36">
        <f t="shared" si="1"/>
        <v>33882</v>
      </c>
      <c r="Q10" s="75">
        <f>SUM(E10:P10)</f>
        <v>267930.5</v>
      </c>
      <c r="R10" s="36"/>
      <c r="S10" s="36"/>
    </row>
    <row r="12" spans="1:20" s="30" customFormat="1" x14ac:dyDescent="0.25">
      <c r="A12" s="31" t="s">
        <v>85</v>
      </c>
      <c r="B12" s="31" t="s">
        <v>86</v>
      </c>
      <c r="C12" s="31" t="s">
        <v>87</v>
      </c>
      <c r="D12" s="8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74"/>
      <c r="R12" s="29"/>
      <c r="S12" s="29"/>
    </row>
    <row r="13" spans="1:20" x14ac:dyDescent="0.25">
      <c r="A13" s="1" t="s">
        <v>11</v>
      </c>
      <c r="B13" s="92" t="s">
        <v>156</v>
      </c>
      <c r="C13" s="4" t="s">
        <v>12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588.5</v>
      </c>
      <c r="Q13" s="72">
        <f>SUM(E13:P13)</f>
        <v>588.5</v>
      </c>
    </row>
    <row r="14" spans="1:20" s="30" customFormat="1" x14ac:dyDescent="0.25">
      <c r="A14" s="30" t="s">
        <v>13</v>
      </c>
      <c r="B14" s="93" t="s">
        <v>156</v>
      </c>
      <c r="C14" s="32" t="s">
        <v>14</v>
      </c>
      <c r="D14" s="83"/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995.1</v>
      </c>
      <c r="N14" s="29">
        <v>0</v>
      </c>
      <c r="O14" s="29">
        <v>0</v>
      </c>
      <c r="P14" s="29">
        <v>0</v>
      </c>
      <c r="Q14" s="74">
        <f t="shared" ref="Q14:Q52" si="2">SUM(E14:P14)</f>
        <v>995.1</v>
      </c>
      <c r="R14" s="29"/>
      <c r="S14" s="29"/>
    </row>
    <row r="15" spans="1:20" x14ac:dyDescent="0.25">
      <c r="A15" s="1" t="s">
        <v>15</v>
      </c>
      <c r="B15" s="92" t="s">
        <v>156</v>
      </c>
      <c r="C15" s="4" t="s">
        <v>16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3610.5</v>
      </c>
      <c r="N15" s="9">
        <v>0</v>
      </c>
      <c r="O15" s="9">
        <v>0</v>
      </c>
      <c r="P15" s="9">
        <v>0</v>
      </c>
      <c r="Q15" s="72">
        <f t="shared" si="2"/>
        <v>3610.5</v>
      </c>
    </row>
    <row r="16" spans="1:20" s="30" customFormat="1" x14ac:dyDescent="0.25">
      <c r="A16" s="30" t="s">
        <v>17</v>
      </c>
      <c r="B16" s="93" t="s">
        <v>156</v>
      </c>
      <c r="C16" s="32" t="s">
        <v>18</v>
      </c>
      <c r="D16" s="83"/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74">
        <f t="shared" si="2"/>
        <v>0</v>
      </c>
      <c r="R16" s="29"/>
      <c r="S16" s="29"/>
    </row>
    <row r="17" spans="1:19" x14ac:dyDescent="0.25">
      <c r="A17" s="1" t="s">
        <v>19</v>
      </c>
      <c r="B17" s="92" t="s">
        <v>156</v>
      </c>
      <c r="C17" s="4" t="s">
        <v>20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72">
        <f t="shared" si="2"/>
        <v>0</v>
      </c>
    </row>
    <row r="18" spans="1:19" s="30" customFormat="1" x14ac:dyDescent="0.25">
      <c r="A18" s="30" t="s">
        <v>21</v>
      </c>
      <c r="B18" s="93" t="s">
        <v>156</v>
      </c>
      <c r="C18" s="32" t="s">
        <v>22</v>
      </c>
      <c r="D18" s="83"/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74">
        <f t="shared" si="2"/>
        <v>0</v>
      </c>
      <c r="R18" s="29"/>
      <c r="S18" s="29"/>
    </row>
    <row r="19" spans="1:19" x14ac:dyDescent="0.25">
      <c r="A19" s="1" t="s">
        <v>23</v>
      </c>
      <c r="B19" s="92" t="s">
        <v>156</v>
      </c>
      <c r="C19" s="4" t="s">
        <v>24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4711.2</v>
      </c>
      <c r="N19" s="9">
        <v>1200</v>
      </c>
      <c r="O19" s="9">
        <v>1070</v>
      </c>
      <c r="P19" s="9">
        <v>0</v>
      </c>
      <c r="Q19" s="72">
        <f t="shared" si="2"/>
        <v>6981.2</v>
      </c>
    </row>
    <row r="20" spans="1:19" s="30" customFormat="1" x14ac:dyDescent="0.25">
      <c r="A20" s="30" t="s">
        <v>25</v>
      </c>
      <c r="B20" s="93" t="s">
        <v>156</v>
      </c>
      <c r="C20" s="32" t="s">
        <v>26</v>
      </c>
      <c r="D20" s="83"/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1500</v>
      </c>
      <c r="N20" s="29">
        <v>0</v>
      </c>
      <c r="O20" s="29">
        <v>0</v>
      </c>
      <c r="P20" s="29">
        <v>0</v>
      </c>
      <c r="Q20" s="74">
        <f t="shared" si="2"/>
        <v>1500</v>
      </c>
      <c r="R20" s="29"/>
      <c r="S20" s="29"/>
    </row>
    <row r="21" spans="1:19" x14ac:dyDescent="0.25">
      <c r="A21" s="1" t="s">
        <v>73</v>
      </c>
      <c r="B21" s="92" t="s">
        <v>156</v>
      </c>
      <c r="C21" s="4" t="s">
        <v>27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72">
        <f t="shared" si="2"/>
        <v>0</v>
      </c>
    </row>
    <row r="22" spans="1:19" s="30" customFormat="1" x14ac:dyDescent="0.25">
      <c r="A22" s="30" t="s">
        <v>28</v>
      </c>
      <c r="B22" s="93" t="s">
        <v>156</v>
      </c>
      <c r="C22" s="32" t="s">
        <v>29</v>
      </c>
      <c r="D22" s="83"/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74">
        <f t="shared" si="2"/>
        <v>0</v>
      </c>
      <c r="R22" s="29"/>
      <c r="S22" s="29"/>
    </row>
    <row r="23" spans="1:19" x14ac:dyDescent="0.25">
      <c r="A23" s="1" t="s">
        <v>74</v>
      </c>
      <c r="B23" s="92" t="s">
        <v>156</v>
      </c>
      <c r="C23" s="4" t="s">
        <v>30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1093.5999999999999</v>
      </c>
      <c r="N23" s="9">
        <v>0</v>
      </c>
      <c r="O23" s="9">
        <v>0</v>
      </c>
      <c r="P23" s="9">
        <v>0</v>
      </c>
      <c r="Q23" s="72">
        <f t="shared" si="2"/>
        <v>1093.5999999999999</v>
      </c>
    </row>
    <row r="24" spans="1:19" s="30" customFormat="1" x14ac:dyDescent="0.25">
      <c r="A24" s="30" t="s">
        <v>31</v>
      </c>
      <c r="B24" s="93" t="s">
        <v>156</v>
      </c>
      <c r="C24" s="32" t="s">
        <v>32</v>
      </c>
      <c r="D24" s="83"/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14953.12</v>
      </c>
      <c r="N24" s="29">
        <v>0</v>
      </c>
      <c r="O24" s="29">
        <v>2450.0700000000002</v>
      </c>
      <c r="P24" s="29">
        <v>0</v>
      </c>
      <c r="Q24" s="74">
        <f t="shared" si="2"/>
        <v>17403.190000000002</v>
      </c>
      <c r="R24" s="29"/>
      <c r="S24" s="29"/>
    </row>
    <row r="25" spans="1:19" x14ac:dyDescent="0.25">
      <c r="A25" s="1" t="s">
        <v>33</v>
      </c>
      <c r="B25" s="92" t="s">
        <v>156</v>
      </c>
      <c r="C25" s="4" t="s">
        <v>34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13895.54</v>
      </c>
      <c r="N25" s="9">
        <v>1576.07</v>
      </c>
      <c r="O25" s="9">
        <v>419.2</v>
      </c>
      <c r="P25" s="9">
        <v>419.02</v>
      </c>
      <c r="Q25" s="72">
        <f t="shared" si="2"/>
        <v>16309.830000000002</v>
      </c>
    </row>
    <row r="26" spans="1:19" s="30" customFormat="1" x14ac:dyDescent="0.25">
      <c r="A26" s="30" t="s">
        <v>75</v>
      </c>
      <c r="B26" s="93" t="s">
        <v>156</v>
      </c>
      <c r="C26" s="32" t="s">
        <v>35</v>
      </c>
      <c r="D26" s="83"/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2846.75</v>
      </c>
      <c r="N26" s="29">
        <v>325.04000000000002</v>
      </c>
      <c r="O26" s="29">
        <v>329.16</v>
      </c>
      <c r="P26" s="29">
        <v>329.16</v>
      </c>
      <c r="Q26" s="74">
        <f t="shared" si="2"/>
        <v>3830.1099999999997</v>
      </c>
      <c r="R26" s="29"/>
      <c r="S26" s="29"/>
    </row>
    <row r="27" spans="1:19" x14ac:dyDescent="0.25">
      <c r="A27" s="1" t="s">
        <v>38</v>
      </c>
      <c r="B27" s="92" t="s">
        <v>156</v>
      </c>
      <c r="C27" s="4" t="s">
        <v>39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72">
        <f t="shared" si="2"/>
        <v>0</v>
      </c>
    </row>
    <row r="28" spans="1:19" s="30" customFormat="1" x14ac:dyDescent="0.25">
      <c r="A28" s="30" t="s">
        <v>102</v>
      </c>
      <c r="B28" s="93" t="s">
        <v>156</v>
      </c>
      <c r="C28" s="32" t="s">
        <v>36</v>
      </c>
      <c r="D28" s="83"/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74">
        <f t="shared" si="2"/>
        <v>0</v>
      </c>
      <c r="R28" s="29"/>
      <c r="S28" s="29"/>
    </row>
    <row r="29" spans="1:19" x14ac:dyDescent="0.25">
      <c r="A29" s="1" t="s">
        <v>103</v>
      </c>
      <c r="B29" s="92" t="s">
        <v>156</v>
      </c>
      <c r="C29" s="4" t="s">
        <v>37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7260</v>
      </c>
      <c r="N29" s="9">
        <v>0</v>
      </c>
      <c r="O29" s="9">
        <v>0</v>
      </c>
      <c r="P29" s="9">
        <v>9018.9</v>
      </c>
      <c r="Q29" s="72">
        <f t="shared" si="2"/>
        <v>16278.9</v>
      </c>
    </row>
    <row r="30" spans="1:19" s="30" customFormat="1" x14ac:dyDescent="0.25">
      <c r="A30" s="30" t="s">
        <v>104</v>
      </c>
      <c r="B30" s="93" t="s">
        <v>156</v>
      </c>
      <c r="C30" s="32" t="s">
        <v>40</v>
      </c>
      <c r="D30" s="83"/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74">
        <f t="shared" si="2"/>
        <v>0</v>
      </c>
      <c r="R30" s="29"/>
      <c r="S30" s="29"/>
    </row>
    <row r="31" spans="1:19" x14ac:dyDescent="0.25">
      <c r="A31" s="1" t="s">
        <v>105</v>
      </c>
      <c r="B31" s="92" t="s">
        <v>156</v>
      </c>
      <c r="C31" s="4" t="s">
        <v>42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72">
        <f t="shared" si="2"/>
        <v>0</v>
      </c>
    </row>
    <row r="32" spans="1:19" s="30" customFormat="1" x14ac:dyDescent="0.25">
      <c r="A32" s="30" t="s">
        <v>76</v>
      </c>
      <c r="B32" s="93" t="s">
        <v>156</v>
      </c>
      <c r="C32" s="32" t="s">
        <v>41</v>
      </c>
      <c r="D32" s="83"/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65730.5</v>
      </c>
      <c r="N32" s="29">
        <v>22924.5</v>
      </c>
      <c r="O32" s="29">
        <v>0</v>
      </c>
      <c r="P32" s="29">
        <v>0</v>
      </c>
      <c r="Q32" s="74">
        <f t="shared" si="2"/>
        <v>88655</v>
      </c>
      <c r="R32" s="29"/>
      <c r="S32" s="29"/>
    </row>
    <row r="33" spans="1:19" x14ac:dyDescent="0.25">
      <c r="A33" s="1" t="s">
        <v>43</v>
      </c>
      <c r="B33" s="92" t="s">
        <v>156</v>
      </c>
      <c r="C33" s="4" t="s">
        <v>44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1652</v>
      </c>
      <c r="N33" s="9">
        <v>0</v>
      </c>
      <c r="O33" s="9">
        <v>0</v>
      </c>
      <c r="P33" s="9">
        <v>0</v>
      </c>
      <c r="Q33" s="72">
        <f t="shared" si="2"/>
        <v>1652</v>
      </c>
    </row>
    <row r="34" spans="1:19" s="30" customFormat="1" x14ac:dyDescent="0.25">
      <c r="A34" s="30" t="s">
        <v>81</v>
      </c>
      <c r="B34" s="93" t="s">
        <v>156</v>
      </c>
      <c r="C34" s="32" t="s">
        <v>45</v>
      </c>
      <c r="D34" s="83"/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3778.47</v>
      </c>
      <c r="N34" s="29">
        <v>0</v>
      </c>
      <c r="O34" s="29">
        <v>0</v>
      </c>
      <c r="P34" s="29">
        <v>1241</v>
      </c>
      <c r="Q34" s="74">
        <f t="shared" si="2"/>
        <v>5019.4699999999993</v>
      </c>
      <c r="R34" s="29"/>
      <c r="S34" s="29"/>
    </row>
    <row r="35" spans="1:19" x14ac:dyDescent="0.25">
      <c r="A35" s="1" t="s">
        <v>77</v>
      </c>
      <c r="B35" s="92" t="s">
        <v>156</v>
      </c>
      <c r="C35" s="4" t="s">
        <v>46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72">
        <f t="shared" si="2"/>
        <v>0</v>
      </c>
    </row>
    <row r="36" spans="1:19" s="30" customFormat="1" x14ac:dyDescent="0.25">
      <c r="A36" s="30" t="s">
        <v>47</v>
      </c>
      <c r="B36" s="93" t="s">
        <v>156</v>
      </c>
      <c r="C36" s="32" t="s">
        <v>48</v>
      </c>
      <c r="D36" s="83"/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74">
        <f t="shared" si="2"/>
        <v>0</v>
      </c>
      <c r="R36" s="29"/>
      <c r="S36" s="29"/>
    </row>
    <row r="37" spans="1:19" x14ac:dyDescent="0.25">
      <c r="A37" s="1" t="s">
        <v>71</v>
      </c>
      <c r="B37" s="92" t="s">
        <v>156</v>
      </c>
      <c r="C37" s="4" t="s">
        <v>72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72">
        <f t="shared" si="2"/>
        <v>0</v>
      </c>
    </row>
    <row r="38" spans="1:19" s="30" customFormat="1" x14ac:dyDescent="0.25">
      <c r="A38" s="30" t="s">
        <v>128</v>
      </c>
      <c r="B38" s="93" t="s">
        <v>156</v>
      </c>
      <c r="C38" s="32" t="s">
        <v>129</v>
      </c>
      <c r="D38" s="83"/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74">
        <f t="shared" si="2"/>
        <v>0</v>
      </c>
      <c r="R38" s="29"/>
      <c r="S38" s="29"/>
    </row>
    <row r="39" spans="1:19" x14ac:dyDescent="0.25">
      <c r="A39" s="1" t="s">
        <v>49</v>
      </c>
      <c r="B39" s="92" t="s">
        <v>156</v>
      </c>
      <c r="C39" s="4" t="s">
        <v>50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72">
        <f t="shared" si="2"/>
        <v>0</v>
      </c>
    </row>
    <row r="40" spans="1:19" s="30" customFormat="1" x14ac:dyDescent="0.25">
      <c r="A40" s="30" t="s">
        <v>79</v>
      </c>
      <c r="B40" s="93" t="s">
        <v>156</v>
      </c>
      <c r="C40" s="32" t="s">
        <v>51</v>
      </c>
      <c r="D40" s="83"/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7513.33</v>
      </c>
      <c r="N40" s="29">
        <v>0</v>
      </c>
      <c r="O40" s="29">
        <v>0</v>
      </c>
      <c r="P40" s="29">
        <v>3450</v>
      </c>
      <c r="Q40" s="74">
        <f t="shared" si="2"/>
        <v>10963.33</v>
      </c>
      <c r="R40" s="29"/>
      <c r="S40" s="29"/>
    </row>
    <row r="41" spans="1:19" x14ac:dyDescent="0.25">
      <c r="A41" s="1" t="s">
        <v>80</v>
      </c>
      <c r="B41" s="92" t="s">
        <v>156</v>
      </c>
      <c r="C41" s="4" t="s">
        <v>52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9390</v>
      </c>
      <c r="N41" s="9">
        <v>3986.2</v>
      </c>
      <c r="O41" s="9">
        <v>2150</v>
      </c>
      <c r="P41" s="9">
        <v>1439.55</v>
      </c>
      <c r="Q41" s="72">
        <f t="shared" si="2"/>
        <v>16965.75</v>
      </c>
    </row>
    <row r="42" spans="1:19" s="30" customFormat="1" x14ac:dyDescent="0.25">
      <c r="A42" s="30" t="s">
        <v>53</v>
      </c>
      <c r="B42" s="93" t="s">
        <v>156</v>
      </c>
      <c r="C42" s="32" t="s">
        <v>54</v>
      </c>
      <c r="D42" s="83"/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11270</v>
      </c>
      <c r="N42" s="29">
        <v>300</v>
      </c>
      <c r="O42" s="29">
        <v>300</v>
      </c>
      <c r="P42" s="29">
        <v>300</v>
      </c>
      <c r="Q42" s="74">
        <f t="shared" si="2"/>
        <v>12170</v>
      </c>
      <c r="R42" s="29"/>
      <c r="S42" s="29"/>
    </row>
    <row r="43" spans="1:19" x14ac:dyDescent="0.25">
      <c r="A43" s="91" t="s">
        <v>152</v>
      </c>
      <c r="B43" s="92" t="s">
        <v>156</v>
      </c>
      <c r="C43" s="4" t="s">
        <v>55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72">
        <f t="shared" si="2"/>
        <v>0</v>
      </c>
    </row>
    <row r="44" spans="1:19" s="30" customFormat="1" x14ac:dyDescent="0.25">
      <c r="A44" s="30" t="s">
        <v>56</v>
      </c>
      <c r="B44" s="93" t="s">
        <v>156</v>
      </c>
      <c r="C44" s="32" t="s">
        <v>57</v>
      </c>
      <c r="D44" s="83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74">
        <f t="shared" si="2"/>
        <v>0</v>
      </c>
      <c r="R44" s="29"/>
      <c r="S44" s="29"/>
    </row>
    <row r="45" spans="1:19" x14ac:dyDescent="0.25">
      <c r="A45" s="1" t="s">
        <v>82</v>
      </c>
      <c r="B45" s="92" t="s">
        <v>156</v>
      </c>
      <c r="C45" s="4" t="s">
        <v>58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736.07</v>
      </c>
      <c r="N45" s="9">
        <v>0</v>
      </c>
      <c r="O45" s="9">
        <v>0</v>
      </c>
      <c r="P45" s="9">
        <v>322.82</v>
      </c>
      <c r="Q45" s="72">
        <f t="shared" si="2"/>
        <v>1058.8900000000001</v>
      </c>
    </row>
    <row r="46" spans="1:19" s="30" customFormat="1" x14ac:dyDescent="0.25">
      <c r="A46" s="30" t="s">
        <v>59</v>
      </c>
      <c r="B46" s="93" t="s">
        <v>156</v>
      </c>
      <c r="C46" s="32" t="s">
        <v>60</v>
      </c>
      <c r="D46" s="83"/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158.47</v>
      </c>
      <c r="N46" s="29">
        <v>0</v>
      </c>
      <c r="O46" s="29">
        <v>0</v>
      </c>
      <c r="P46" s="29">
        <v>36.200000000000003</v>
      </c>
      <c r="Q46" s="74">
        <f t="shared" si="2"/>
        <v>194.67000000000002</v>
      </c>
      <c r="R46" s="29"/>
      <c r="S46" s="29"/>
    </row>
    <row r="47" spans="1:19" x14ac:dyDescent="0.25">
      <c r="A47" s="1" t="s">
        <v>61</v>
      </c>
      <c r="B47" s="92" t="s">
        <v>156</v>
      </c>
      <c r="C47" s="4" t="s">
        <v>62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441.93</v>
      </c>
      <c r="N47" s="9">
        <v>0</v>
      </c>
      <c r="O47" s="9">
        <v>0</v>
      </c>
      <c r="P47" s="9">
        <v>239.74</v>
      </c>
      <c r="Q47" s="72">
        <f t="shared" si="2"/>
        <v>681.67000000000007</v>
      </c>
    </row>
    <row r="48" spans="1:19" s="30" customFormat="1" x14ac:dyDescent="0.25">
      <c r="A48" s="30" t="s">
        <v>63</v>
      </c>
      <c r="B48" s="93" t="s">
        <v>156</v>
      </c>
      <c r="C48" s="32" t="s">
        <v>64</v>
      </c>
      <c r="D48" s="83"/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74">
        <f t="shared" si="2"/>
        <v>0</v>
      </c>
      <c r="R48" s="29"/>
      <c r="S48" s="29"/>
    </row>
    <row r="49" spans="1:19" x14ac:dyDescent="0.25">
      <c r="A49" s="1" t="s">
        <v>67</v>
      </c>
      <c r="B49" s="92" t="s">
        <v>156</v>
      </c>
      <c r="C49" s="4" t="s">
        <v>68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251</v>
      </c>
      <c r="N49" s="9">
        <v>0</v>
      </c>
      <c r="O49" s="9">
        <v>0</v>
      </c>
      <c r="P49" s="9">
        <v>0</v>
      </c>
      <c r="Q49" s="72">
        <f t="shared" si="2"/>
        <v>251</v>
      </c>
    </row>
    <row r="50" spans="1:19" s="30" customFormat="1" x14ac:dyDescent="0.25">
      <c r="A50" s="30" t="s">
        <v>65</v>
      </c>
      <c r="B50" s="93" t="s">
        <v>156</v>
      </c>
      <c r="C50" s="32" t="s">
        <v>66</v>
      </c>
      <c r="D50" s="83"/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74">
        <f t="shared" si="2"/>
        <v>0</v>
      </c>
      <c r="R50" s="29"/>
      <c r="S50" s="29"/>
    </row>
    <row r="51" spans="1:19" x14ac:dyDescent="0.25">
      <c r="A51" s="1" t="s">
        <v>69</v>
      </c>
      <c r="B51" s="92" t="s">
        <v>156</v>
      </c>
      <c r="C51" s="4" t="s">
        <v>70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61.77</v>
      </c>
      <c r="N51" s="9">
        <v>0</v>
      </c>
      <c r="O51" s="9">
        <v>0</v>
      </c>
      <c r="P51" s="9">
        <v>36.29</v>
      </c>
      <c r="Q51" s="72">
        <f t="shared" si="2"/>
        <v>98.06</v>
      </c>
    </row>
    <row r="52" spans="1:19" s="30" customFormat="1" x14ac:dyDescent="0.25">
      <c r="A52" s="30" t="s">
        <v>83</v>
      </c>
      <c r="B52" s="93" t="s">
        <v>156</v>
      </c>
      <c r="C52" s="32"/>
      <c r="D52" s="83"/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82.59</v>
      </c>
      <c r="N52" s="29">
        <v>0</v>
      </c>
      <c r="O52" s="29">
        <v>0</v>
      </c>
      <c r="P52" s="29">
        <v>39.15</v>
      </c>
      <c r="Q52" s="74">
        <f t="shared" si="2"/>
        <v>121.74000000000001</v>
      </c>
      <c r="R52" s="29"/>
      <c r="S52" s="29"/>
    </row>
    <row r="54" spans="1:19" s="33" customFormat="1" x14ac:dyDescent="0.25">
      <c r="A54" s="33" t="s">
        <v>84</v>
      </c>
      <c r="B54" s="34"/>
      <c r="C54" s="34"/>
      <c r="D54" s="81"/>
      <c r="E54" s="36">
        <f>SUM(E13:E53)</f>
        <v>0</v>
      </c>
      <c r="F54" s="36">
        <f t="shared" ref="F54:L54" si="3">SUM(F13:F53)</f>
        <v>0</v>
      </c>
      <c r="G54" s="36">
        <f t="shared" si="3"/>
        <v>0</v>
      </c>
      <c r="H54" s="36">
        <f t="shared" si="3"/>
        <v>0</v>
      </c>
      <c r="I54" s="36">
        <f t="shared" si="3"/>
        <v>0</v>
      </c>
      <c r="J54" s="36">
        <f t="shared" si="3"/>
        <v>0</v>
      </c>
      <c r="K54" s="36">
        <f t="shared" si="3"/>
        <v>0</v>
      </c>
      <c r="L54" s="36">
        <f t="shared" si="3"/>
        <v>0</v>
      </c>
      <c r="M54" s="36">
        <f>SUM(M13:M53)</f>
        <v>151931.93999999997</v>
      </c>
      <c r="N54" s="36">
        <f t="shared" ref="N54:P54" si="4">SUM(N13:N53)</f>
        <v>30311.81</v>
      </c>
      <c r="O54" s="36">
        <f t="shared" si="4"/>
        <v>6718.43</v>
      </c>
      <c r="P54" s="36">
        <f t="shared" si="4"/>
        <v>17460.330000000005</v>
      </c>
      <c r="Q54" s="75">
        <f>SUM(E54:P54)</f>
        <v>206422.50999999998</v>
      </c>
      <c r="R54" s="36"/>
      <c r="S54" s="36"/>
    </row>
    <row r="56" spans="1:19" s="37" customFormat="1" x14ac:dyDescent="0.25">
      <c r="A56" s="37" t="s">
        <v>138</v>
      </c>
      <c r="B56" s="38"/>
      <c r="C56" s="38"/>
      <c r="D56" s="84"/>
      <c r="E56" s="39">
        <f>SUM(E13:E27)</f>
        <v>0</v>
      </c>
      <c r="F56" s="39">
        <f t="shared" ref="F56:P56" si="5">SUM(F13:F27)</f>
        <v>0</v>
      </c>
      <c r="G56" s="39">
        <f t="shared" si="5"/>
        <v>0</v>
      </c>
      <c r="H56" s="39">
        <f t="shared" si="5"/>
        <v>0</v>
      </c>
      <c r="I56" s="39">
        <f t="shared" si="5"/>
        <v>0</v>
      </c>
      <c r="J56" s="39">
        <f t="shared" si="5"/>
        <v>0</v>
      </c>
      <c r="K56" s="39">
        <f t="shared" si="5"/>
        <v>0</v>
      </c>
      <c r="L56" s="39">
        <f t="shared" si="5"/>
        <v>0</v>
      </c>
      <c r="M56" s="39">
        <f t="shared" si="5"/>
        <v>43605.81</v>
      </c>
      <c r="N56" s="39">
        <f t="shared" si="5"/>
        <v>3101.1099999999997</v>
      </c>
      <c r="O56" s="39">
        <f t="shared" si="5"/>
        <v>4268.43</v>
      </c>
      <c r="P56" s="39">
        <f t="shared" si="5"/>
        <v>1336.68</v>
      </c>
      <c r="Q56" s="76">
        <f>SUM(E56:P56)</f>
        <v>52312.03</v>
      </c>
      <c r="R56" s="39"/>
      <c r="S56" s="39"/>
    </row>
    <row r="58" spans="1:19" s="37" customFormat="1" x14ac:dyDescent="0.25">
      <c r="A58" s="37" t="s">
        <v>88</v>
      </c>
      <c r="B58" s="38"/>
      <c r="C58" s="38"/>
      <c r="D58" s="84"/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76">
        <f>SUM(E58:P58)</f>
        <v>0</v>
      </c>
      <c r="R58" s="39"/>
      <c r="S58" s="39"/>
    </row>
    <row r="60" spans="1:19" s="33" customFormat="1" x14ac:dyDescent="0.25">
      <c r="A60" s="33" t="s">
        <v>89</v>
      </c>
      <c r="B60" s="34"/>
      <c r="C60" s="34"/>
      <c r="D60" s="81"/>
      <c r="E60" s="36">
        <f>E10-E54-E58</f>
        <v>17135</v>
      </c>
      <c r="F60" s="36">
        <f t="shared" ref="F60:P60" si="6">F10-F54-F58</f>
        <v>17135</v>
      </c>
      <c r="G60" s="36">
        <f t="shared" si="6"/>
        <v>17135</v>
      </c>
      <c r="H60" s="36">
        <f t="shared" si="6"/>
        <v>17135</v>
      </c>
      <c r="I60" s="36">
        <f t="shared" si="6"/>
        <v>17136</v>
      </c>
      <c r="J60" s="36">
        <f t="shared" si="6"/>
        <v>17354</v>
      </c>
      <c r="K60" s="36">
        <f t="shared" si="6"/>
        <v>17354</v>
      </c>
      <c r="L60" s="36">
        <f t="shared" si="6"/>
        <v>18831</v>
      </c>
      <c r="M60" s="36">
        <f t="shared" si="6"/>
        <v>-124862.43999999997</v>
      </c>
      <c r="N60" s="36">
        <f t="shared" si="6"/>
        <v>3570.1899999999987</v>
      </c>
      <c r="O60" s="36">
        <f t="shared" si="6"/>
        <v>27163.57</v>
      </c>
      <c r="P60" s="36">
        <f t="shared" si="6"/>
        <v>16421.669999999995</v>
      </c>
      <c r="Q60" s="75">
        <f>SUM(E60:P60)</f>
        <v>61507.99000000002</v>
      </c>
      <c r="R60" s="36"/>
      <c r="S60" s="36"/>
    </row>
    <row r="62" spans="1:19" s="37" customFormat="1" x14ac:dyDescent="0.25">
      <c r="A62" s="37" t="s">
        <v>90</v>
      </c>
      <c r="B62" s="94" t="s">
        <v>156</v>
      </c>
      <c r="C62" s="38" t="s">
        <v>126</v>
      </c>
      <c r="D62" s="84"/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76">
        <f>SUM(E62:P62)</f>
        <v>0</v>
      </c>
      <c r="R62" s="39"/>
      <c r="S62" s="39"/>
    </row>
    <row r="63" spans="1:19" s="37" customFormat="1" x14ac:dyDescent="0.25">
      <c r="A63" s="37" t="s">
        <v>91</v>
      </c>
      <c r="B63" s="94" t="s">
        <v>156</v>
      </c>
      <c r="C63" s="38" t="s">
        <v>127</v>
      </c>
      <c r="D63" s="84"/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121777.78</v>
      </c>
      <c r="N63" s="39">
        <v>13333.33</v>
      </c>
      <c r="O63" s="39">
        <v>13777.78</v>
      </c>
      <c r="P63" s="39">
        <v>13333.33</v>
      </c>
      <c r="Q63" s="76">
        <f>SUM(E63:P63)</f>
        <v>162222.21999999997</v>
      </c>
      <c r="R63" s="39"/>
      <c r="S63" s="39"/>
    </row>
    <row r="65" spans="1:19" s="33" customFormat="1" x14ac:dyDescent="0.25">
      <c r="A65" s="33" t="s">
        <v>92</v>
      </c>
      <c r="B65" s="34"/>
      <c r="C65" s="34"/>
      <c r="D65" s="81"/>
      <c r="E65" s="36">
        <f>E60-(E62+E63)</f>
        <v>17135</v>
      </c>
      <c r="F65" s="36">
        <f t="shared" ref="F65:P65" si="7">F60-(F62+F63)</f>
        <v>17135</v>
      </c>
      <c r="G65" s="36">
        <f t="shared" si="7"/>
        <v>17135</v>
      </c>
      <c r="H65" s="36">
        <f t="shared" si="7"/>
        <v>17135</v>
      </c>
      <c r="I65" s="36">
        <f t="shared" si="7"/>
        <v>17136</v>
      </c>
      <c r="J65" s="36">
        <f t="shared" si="7"/>
        <v>17354</v>
      </c>
      <c r="K65" s="36">
        <f t="shared" si="7"/>
        <v>17354</v>
      </c>
      <c r="L65" s="36">
        <f t="shared" si="7"/>
        <v>18831</v>
      </c>
      <c r="M65" s="36">
        <f t="shared" si="7"/>
        <v>-246640.21999999997</v>
      </c>
      <c r="N65" s="36">
        <f t="shared" si="7"/>
        <v>-9763.1400000000012</v>
      </c>
      <c r="O65" s="36">
        <f t="shared" si="7"/>
        <v>13385.789999999999</v>
      </c>
      <c r="P65" s="36">
        <f t="shared" si="7"/>
        <v>3088.3399999999947</v>
      </c>
      <c r="Q65" s="75">
        <f>SUM(E65:P65)</f>
        <v>-100714.22999999998</v>
      </c>
      <c r="R65" s="36"/>
      <c r="S65" s="36"/>
    </row>
    <row r="67" spans="1:19" s="37" customFormat="1" x14ac:dyDescent="0.25">
      <c r="A67" s="37" t="s">
        <v>93</v>
      </c>
      <c r="B67" s="38"/>
      <c r="C67" s="38"/>
      <c r="D67" s="84"/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76">
        <f>SUM(E67:P67)</f>
        <v>0</v>
      </c>
      <c r="R67" s="39"/>
      <c r="S67" s="39"/>
    </row>
    <row r="68" spans="1:19" s="33" customFormat="1" x14ac:dyDescent="0.25">
      <c r="A68" s="33" t="s">
        <v>94</v>
      </c>
      <c r="B68" s="34"/>
      <c r="C68" s="34"/>
      <c r="D68" s="81"/>
      <c r="E68" s="36">
        <f>E65-E67</f>
        <v>17135</v>
      </c>
      <c r="F68" s="36">
        <f t="shared" ref="F68:L68" si="8">F65-F67</f>
        <v>17135</v>
      </c>
      <c r="G68" s="36">
        <f t="shared" si="8"/>
        <v>17135</v>
      </c>
      <c r="H68" s="36">
        <f t="shared" si="8"/>
        <v>17135</v>
      </c>
      <c r="I68" s="36">
        <f t="shared" si="8"/>
        <v>17136</v>
      </c>
      <c r="J68" s="36">
        <f t="shared" si="8"/>
        <v>17354</v>
      </c>
      <c r="K68" s="36">
        <f t="shared" si="8"/>
        <v>17354</v>
      </c>
      <c r="L68" s="36">
        <f t="shared" si="8"/>
        <v>18831</v>
      </c>
      <c r="M68" s="36">
        <f t="shared" ref="M68:P68" si="9">M65-M67</f>
        <v>-246640.21999999997</v>
      </c>
      <c r="N68" s="36">
        <f t="shared" si="9"/>
        <v>-9763.1400000000012</v>
      </c>
      <c r="O68" s="36">
        <f t="shared" si="9"/>
        <v>13385.789999999999</v>
      </c>
      <c r="P68" s="36">
        <f t="shared" si="9"/>
        <v>3088.3399999999947</v>
      </c>
      <c r="Q68" s="75">
        <f>SUM(E68:P68)</f>
        <v>-100714.22999999998</v>
      </c>
      <c r="R68" s="36"/>
      <c r="S68" s="36"/>
    </row>
    <row r="70" spans="1:19" s="37" customFormat="1" x14ac:dyDescent="0.25">
      <c r="A70" s="37" t="s">
        <v>95</v>
      </c>
      <c r="B70" s="38"/>
      <c r="C70" s="38"/>
      <c r="D70" s="84"/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76">
        <f>SUM(E70:P70)</f>
        <v>0</v>
      </c>
      <c r="R70" s="39"/>
      <c r="S70" s="39"/>
    </row>
    <row r="72" spans="1:19" s="33" customFormat="1" x14ac:dyDescent="0.25">
      <c r="A72" s="33" t="s">
        <v>96</v>
      </c>
      <c r="B72" s="34"/>
      <c r="C72" s="34"/>
      <c r="D72" s="81"/>
      <c r="E72" s="36"/>
      <c r="F72" s="36"/>
      <c r="G72" s="36"/>
      <c r="H72" s="36"/>
      <c r="I72" s="36"/>
      <c r="J72" s="36"/>
      <c r="K72" s="36"/>
      <c r="L72" s="36"/>
      <c r="M72" s="36"/>
      <c r="N72" s="36">
        <f>M73</f>
        <v>281196.19</v>
      </c>
      <c r="O72" s="36">
        <f t="shared" ref="O72:P72" si="10">N73</f>
        <v>263947.17</v>
      </c>
      <c r="P72" s="36">
        <f t="shared" si="10"/>
        <v>94124.44</v>
      </c>
      <c r="Q72" s="75"/>
      <c r="R72" s="36"/>
      <c r="S72" s="36"/>
    </row>
    <row r="73" spans="1:19" s="33" customFormat="1" x14ac:dyDescent="0.25">
      <c r="A73" s="33" t="s">
        <v>97</v>
      </c>
      <c r="B73" s="34"/>
      <c r="C73" s="34"/>
      <c r="D73" s="81"/>
      <c r="E73" s="36"/>
      <c r="F73" s="36"/>
      <c r="G73" s="36"/>
      <c r="H73" s="36"/>
      <c r="I73" s="36"/>
      <c r="J73" s="36"/>
      <c r="K73" s="36"/>
      <c r="L73" s="36"/>
      <c r="M73" s="36">
        <v>281196.19</v>
      </c>
      <c r="N73" s="36">
        <v>263947.17</v>
      </c>
      <c r="O73" s="36">
        <v>94124.44</v>
      </c>
      <c r="P73" s="36">
        <v>84180.56</v>
      </c>
      <c r="Q73" s="75"/>
      <c r="R73" s="36"/>
      <c r="S73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5" x14ac:dyDescent="0.25"/>
  <cols>
    <col min="1" max="1" width="38" style="1" customWidth="1"/>
    <col min="2" max="2" width="8.88671875" style="4"/>
    <col min="3" max="3" width="10.21875" style="4" bestFit="1" customWidth="1"/>
    <col min="4" max="4" width="10.21875" style="77" customWidth="1"/>
    <col min="5" max="15" width="9.109375" style="9" bestFit="1" customWidth="1"/>
    <col min="16" max="16" width="10.6640625" style="9" bestFit="1" customWidth="1"/>
    <col min="17" max="17" width="10.6640625" style="72" bestFit="1" customWidth="1"/>
    <col min="18" max="18" width="10.6640625" style="20" bestFit="1" customWidth="1"/>
    <col min="19" max="19" width="8.88671875" style="9"/>
    <col min="20" max="20" width="50.77734375" style="1" customWidth="1"/>
    <col min="21" max="16384" width="8.88671875" style="1"/>
  </cols>
  <sheetData>
    <row r="1" spans="1:20" x14ac:dyDescent="0.25">
      <c r="A1" s="2" t="s">
        <v>155</v>
      </c>
    </row>
    <row r="3" spans="1:20" s="7" customFormat="1" x14ac:dyDescent="0.25">
      <c r="D3" s="78" t="s">
        <v>98</v>
      </c>
      <c r="E3" s="10">
        <v>42370</v>
      </c>
      <c r="F3" s="10">
        <v>42401</v>
      </c>
      <c r="G3" s="10">
        <v>42430</v>
      </c>
      <c r="H3" s="10">
        <v>42461</v>
      </c>
      <c r="I3" s="10">
        <v>42491</v>
      </c>
      <c r="J3" s="10">
        <v>42522</v>
      </c>
      <c r="K3" s="10">
        <v>42552</v>
      </c>
      <c r="L3" s="10">
        <v>42583</v>
      </c>
      <c r="M3" s="10">
        <v>42614</v>
      </c>
      <c r="N3" s="10">
        <v>42644</v>
      </c>
      <c r="O3" s="10">
        <v>42675</v>
      </c>
      <c r="P3" s="10">
        <v>42705</v>
      </c>
      <c r="Q3" s="73" t="s">
        <v>106</v>
      </c>
      <c r="R3" s="21">
        <v>2015</v>
      </c>
      <c r="S3" s="10" t="s">
        <v>100</v>
      </c>
      <c r="T3" s="7" t="s">
        <v>101</v>
      </c>
    </row>
    <row r="4" spans="1:20" s="30" customFormat="1" x14ac:dyDescent="0.25">
      <c r="A4" s="27" t="s">
        <v>0</v>
      </c>
      <c r="B4" s="28" t="s">
        <v>156</v>
      </c>
      <c r="C4" s="28" t="s">
        <v>1</v>
      </c>
      <c r="D4" s="79"/>
      <c r="E4" s="29">
        <f>'Min Rent 2016'!E16</f>
        <v>25525</v>
      </c>
      <c r="F4" s="29">
        <f>'Min Rent 2016'!F16</f>
        <v>25525</v>
      </c>
      <c r="G4" s="29">
        <f>'Min Rent 2016'!G16</f>
        <v>25525</v>
      </c>
      <c r="H4" s="29">
        <f>'Min Rent 2016'!H16</f>
        <v>25525</v>
      </c>
      <c r="I4" s="29">
        <f>'Min Rent 2016'!I16</f>
        <v>26717.258064516129</v>
      </c>
      <c r="J4" s="29">
        <f>'Min Rent 2016'!J16</f>
        <v>28165</v>
      </c>
      <c r="K4" s="29">
        <f>'Min Rent 2016'!K16</f>
        <v>29515</v>
      </c>
      <c r="L4" s="29">
        <f>'Min Rent 2016'!L16</f>
        <v>29515</v>
      </c>
      <c r="M4" s="29">
        <f>'Min Rent 2016'!M16</f>
        <v>30628.75</v>
      </c>
      <c r="N4" s="29">
        <f>'Min Rent 2016'!N16</f>
        <v>31742.5</v>
      </c>
      <c r="O4" s="29">
        <f>'Min Rent 2016'!O16</f>
        <v>33970</v>
      </c>
      <c r="P4" s="29">
        <f>'Min Rent 2016'!P16</f>
        <v>33970</v>
      </c>
      <c r="Q4" s="74">
        <f>SUM(E4:P4)</f>
        <v>346323.50806451612</v>
      </c>
      <c r="R4" s="45"/>
      <c r="S4" s="29"/>
    </row>
    <row r="5" spans="1:20" x14ac:dyDescent="0.25">
      <c r="A5" s="5" t="s">
        <v>2</v>
      </c>
      <c r="B5" s="6" t="s">
        <v>156</v>
      </c>
      <c r="C5" s="6" t="s">
        <v>3</v>
      </c>
      <c r="D5" s="80"/>
      <c r="E5" s="9">
        <f>'CAM 2016'!E16</f>
        <v>2145</v>
      </c>
      <c r="F5" s="9">
        <f>'CAM 2016'!F16</f>
        <v>2145</v>
      </c>
      <c r="G5" s="9">
        <f>'CAM 2016'!G16</f>
        <v>2145</v>
      </c>
      <c r="H5" s="9">
        <f>'CAM 2016'!H16</f>
        <v>2145</v>
      </c>
      <c r="I5" s="9">
        <f>'CAM 2016'!I16</f>
        <v>2300.3548387096776</v>
      </c>
      <c r="J5" s="9">
        <f>'CAM 2016'!J16</f>
        <v>2489</v>
      </c>
      <c r="K5" s="9">
        <f>'CAM 2016'!K16</f>
        <v>2489</v>
      </c>
      <c r="L5" s="9">
        <f>'CAM 2016'!L16</f>
        <v>2489</v>
      </c>
      <c r="M5" s="9">
        <f>'CAM 2016'!M16</f>
        <v>2646</v>
      </c>
      <c r="N5" s="9">
        <f>'CAM 2016'!N16</f>
        <v>2803</v>
      </c>
      <c r="O5" s="9">
        <f>'CAM 2016'!O16</f>
        <v>3117</v>
      </c>
      <c r="P5" s="9">
        <f>'CAM 2016'!P16</f>
        <v>3117</v>
      </c>
      <c r="Q5" s="72">
        <f t="shared" ref="Q5:Q8" si="0">SUM(E5:P5)</f>
        <v>30030.354838709678</v>
      </c>
    </row>
    <row r="6" spans="1:20" s="30" customFormat="1" x14ac:dyDescent="0.25">
      <c r="A6" s="27" t="s">
        <v>4</v>
      </c>
      <c r="B6" s="28" t="s">
        <v>156</v>
      </c>
      <c r="C6" s="28" t="s">
        <v>5</v>
      </c>
      <c r="D6" s="79"/>
      <c r="E6" s="29">
        <f>'RETaxes 2016'!E16</f>
        <v>6007</v>
      </c>
      <c r="F6" s="29">
        <f>'RETaxes 2016'!F16</f>
        <v>6007</v>
      </c>
      <c r="G6" s="29">
        <f>'RETaxes 2016'!G16</f>
        <v>6007</v>
      </c>
      <c r="H6" s="29">
        <f>'RETaxes 2016'!H16</f>
        <v>6007</v>
      </c>
      <c r="I6" s="29">
        <f>'RETaxes 2016'!I16</f>
        <v>6200.7419354838712</v>
      </c>
      <c r="J6" s="29">
        <f>'RETaxes 2016'!J16</f>
        <v>6436</v>
      </c>
      <c r="K6" s="29">
        <f>'RETaxes 2016'!K16</f>
        <v>6436</v>
      </c>
      <c r="L6" s="29">
        <f>'RETaxes 2016'!L16</f>
        <v>6436</v>
      </c>
      <c r="M6" s="29">
        <f>'RETaxes 2016'!M16</f>
        <v>6632</v>
      </c>
      <c r="N6" s="29">
        <f>'RETaxes 2016'!N16</f>
        <v>6828</v>
      </c>
      <c r="O6" s="29">
        <f>'RETaxes 2016'!O16</f>
        <v>7220</v>
      </c>
      <c r="P6" s="29">
        <f>'RETaxes 2016'!P16</f>
        <v>7220</v>
      </c>
      <c r="Q6" s="74">
        <f t="shared" si="0"/>
        <v>77436.741935483878</v>
      </c>
      <c r="R6" s="45"/>
      <c r="S6" s="29"/>
    </row>
    <row r="7" spans="1:20" x14ac:dyDescent="0.25">
      <c r="A7" s="5" t="s">
        <v>6</v>
      </c>
      <c r="B7" s="6" t="s">
        <v>156</v>
      </c>
      <c r="C7" s="6" t="s">
        <v>7</v>
      </c>
      <c r="D7" s="80"/>
      <c r="E7" s="9">
        <f>'Ins 2016'!D16</f>
        <v>390</v>
      </c>
      <c r="F7" s="9">
        <f>'Ins 2016'!E16</f>
        <v>390</v>
      </c>
      <c r="G7" s="9">
        <f>'Ins 2016'!F16</f>
        <v>390</v>
      </c>
      <c r="H7" s="9">
        <f>'Ins 2016'!G16</f>
        <v>390</v>
      </c>
      <c r="I7" s="9">
        <f>'Ins 2016'!H16</f>
        <v>390</v>
      </c>
      <c r="J7" s="9">
        <f>'Ins 2016'!I16</f>
        <v>390</v>
      </c>
      <c r="K7" s="9">
        <f>'Ins 2016'!J16</f>
        <v>390</v>
      </c>
      <c r="L7" s="9">
        <f>'Ins 2016'!K16</f>
        <v>390</v>
      </c>
      <c r="M7" s="9">
        <f>'Ins 2016'!L16</f>
        <v>390</v>
      </c>
      <c r="N7" s="9">
        <f>'Ins 2016'!M16</f>
        <v>390</v>
      </c>
      <c r="O7" s="9">
        <f>'Ins 2016'!N16</f>
        <v>390</v>
      </c>
      <c r="P7" s="9">
        <f>'Ins 2016'!O16</f>
        <v>390</v>
      </c>
      <c r="Q7" s="72">
        <f t="shared" si="0"/>
        <v>4680</v>
      </c>
    </row>
    <row r="8" spans="1:20" s="30" customFormat="1" x14ac:dyDescent="0.25">
      <c r="A8" s="27" t="s">
        <v>8</v>
      </c>
      <c r="B8" s="28" t="s">
        <v>156</v>
      </c>
      <c r="C8" s="28" t="s">
        <v>9</v>
      </c>
      <c r="D8" s="79"/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74">
        <f t="shared" si="0"/>
        <v>0</v>
      </c>
      <c r="R8" s="45"/>
      <c r="S8" s="29"/>
    </row>
    <row r="10" spans="1:20" s="33" customFormat="1" x14ac:dyDescent="0.25">
      <c r="A10" s="33" t="s">
        <v>10</v>
      </c>
      <c r="B10" s="34"/>
      <c r="C10" s="34"/>
      <c r="D10" s="81"/>
      <c r="E10" s="36">
        <f>SUM(E4:E9)</f>
        <v>34067</v>
      </c>
      <c r="F10" s="36">
        <f t="shared" ref="F10:P10" si="1">SUM(F4:F9)</f>
        <v>34067</v>
      </c>
      <c r="G10" s="36">
        <f t="shared" si="1"/>
        <v>34067</v>
      </c>
      <c r="H10" s="36">
        <f t="shared" si="1"/>
        <v>34067</v>
      </c>
      <c r="I10" s="36">
        <f t="shared" si="1"/>
        <v>35608.354838709682</v>
      </c>
      <c r="J10" s="36">
        <f t="shared" si="1"/>
        <v>37480</v>
      </c>
      <c r="K10" s="36">
        <f t="shared" si="1"/>
        <v>38830</v>
      </c>
      <c r="L10" s="36">
        <f t="shared" si="1"/>
        <v>38830</v>
      </c>
      <c r="M10" s="36">
        <f t="shared" si="1"/>
        <v>40296.75</v>
      </c>
      <c r="N10" s="36">
        <f t="shared" si="1"/>
        <v>41763.5</v>
      </c>
      <c r="O10" s="36">
        <f t="shared" si="1"/>
        <v>44697</v>
      </c>
      <c r="P10" s="36">
        <f t="shared" si="1"/>
        <v>44697</v>
      </c>
      <c r="Q10" s="75">
        <f>SUM(E10:P10)</f>
        <v>458470.6048387097</v>
      </c>
      <c r="R10" s="44"/>
      <c r="S10" s="36"/>
    </row>
    <row r="12" spans="1:20" s="37" customFormat="1" x14ac:dyDescent="0.25">
      <c r="A12" s="33" t="s">
        <v>271</v>
      </c>
      <c r="B12" s="38"/>
      <c r="C12" s="38"/>
      <c r="D12" s="84"/>
      <c r="E12" s="39">
        <v>0</v>
      </c>
      <c r="F12" s="39">
        <v>0</v>
      </c>
      <c r="G12" s="39">
        <v>300000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76">
        <f>SUM(E12:P12)</f>
        <v>300000</v>
      </c>
      <c r="R12" s="46"/>
      <c r="S12" s="39"/>
    </row>
    <row r="14" spans="1:20" s="30" customFormat="1" x14ac:dyDescent="0.25">
      <c r="A14" s="31" t="s">
        <v>85</v>
      </c>
      <c r="B14" s="31" t="s">
        <v>86</v>
      </c>
      <c r="C14" s="31" t="s">
        <v>87</v>
      </c>
      <c r="D14" s="82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74"/>
      <c r="R14" s="45"/>
      <c r="S14" s="29"/>
    </row>
    <row r="15" spans="1:20" x14ac:dyDescent="0.25">
      <c r="A15" s="1" t="s">
        <v>11</v>
      </c>
      <c r="B15" s="92" t="s">
        <v>156</v>
      </c>
      <c r="C15" s="4" t="s">
        <v>12</v>
      </c>
      <c r="D15" s="77">
        <v>0</v>
      </c>
      <c r="E15" s="9">
        <f>$D15</f>
        <v>0</v>
      </c>
      <c r="F15" s="9">
        <f t="shared" ref="F15:G15" si="2">$D15</f>
        <v>0</v>
      </c>
      <c r="G15" s="9">
        <f t="shared" si="2"/>
        <v>0</v>
      </c>
      <c r="H15" s="9">
        <v>597</v>
      </c>
      <c r="I15" s="9">
        <v>597</v>
      </c>
      <c r="J15" s="9">
        <v>597</v>
      </c>
      <c r="K15" s="9">
        <v>597</v>
      </c>
      <c r="L15" s="9">
        <v>597</v>
      </c>
      <c r="M15" s="9">
        <v>597</v>
      </c>
      <c r="N15" s="9">
        <v>597</v>
      </c>
      <c r="O15" s="9">
        <v>550</v>
      </c>
      <c r="P15" s="9">
        <v>550</v>
      </c>
      <c r="Q15" s="72">
        <f>SUM(E15:P15)</f>
        <v>5279</v>
      </c>
      <c r="R15" s="20">
        <f>'Op Budget 2015'!Q13</f>
        <v>588.5</v>
      </c>
    </row>
    <row r="16" spans="1:20" s="30" customFormat="1" x14ac:dyDescent="0.25">
      <c r="A16" s="30" t="s">
        <v>13</v>
      </c>
      <c r="B16" s="93" t="s">
        <v>156</v>
      </c>
      <c r="C16" s="32" t="s">
        <v>14</v>
      </c>
      <c r="D16" s="83">
        <v>300</v>
      </c>
      <c r="E16" s="29">
        <f>$D16*(1+Assumptions!$B$3)</f>
        <v>304.46999999999997</v>
      </c>
      <c r="F16" s="29">
        <f>$D16*(1+Assumptions!$B$3)</f>
        <v>304.46999999999997</v>
      </c>
      <c r="G16" s="29">
        <f>$D16*(1+Assumptions!$B$3)</f>
        <v>304.46999999999997</v>
      </c>
      <c r="H16" s="29">
        <f>$D16*(1+Assumptions!$B$3)</f>
        <v>304.46999999999997</v>
      </c>
      <c r="I16" s="29">
        <f>$D16*(1+Assumptions!$B$3)</f>
        <v>304.46999999999997</v>
      </c>
      <c r="J16" s="29">
        <f>$D16*(1+Assumptions!$B$3)</f>
        <v>304.46999999999997</v>
      </c>
      <c r="K16" s="29">
        <f>$D16*(1+Assumptions!$B$3)</f>
        <v>304.46999999999997</v>
      </c>
      <c r="L16" s="29">
        <f>$D16*(1+Assumptions!$B$3)</f>
        <v>304.46999999999997</v>
      </c>
      <c r="M16" s="29">
        <f>$D16*(1+Assumptions!$B$3)</f>
        <v>304.46999999999997</v>
      </c>
      <c r="N16" s="29">
        <f>$D16*(1+Assumptions!$B$3)</f>
        <v>304.46999999999997</v>
      </c>
      <c r="O16" s="29">
        <f>$D16*(1+Assumptions!$B$3)</f>
        <v>304.46999999999997</v>
      </c>
      <c r="P16" s="29">
        <f>$D16*(1+Assumptions!$B$3)</f>
        <v>304.46999999999997</v>
      </c>
      <c r="Q16" s="74">
        <f t="shared" ref="Q16:Q54" si="3">SUM(E16:P16)</f>
        <v>3653.639999999999</v>
      </c>
      <c r="R16" s="45">
        <f>'Op Budget 2015'!Q14</f>
        <v>995.1</v>
      </c>
      <c r="S16" s="29"/>
    </row>
    <row r="17" spans="1:19" x14ac:dyDescent="0.25">
      <c r="A17" s="1" t="s">
        <v>15</v>
      </c>
      <c r="B17" s="92" t="s">
        <v>156</v>
      </c>
      <c r="C17" s="4" t="s">
        <v>16</v>
      </c>
      <c r="D17" s="77">
        <v>500</v>
      </c>
      <c r="E17" s="9">
        <f>$D17</f>
        <v>500</v>
      </c>
      <c r="F17" s="9">
        <f t="shared" ref="F17:H17" si="4">$D17</f>
        <v>500</v>
      </c>
      <c r="G17" s="9">
        <f t="shared" si="4"/>
        <v>500</v>
      </c>
      <c r="H17" s="9">
        <f t="shared" si="4"/>
        <v>500</v>
      </c>
      <c r="I17" s="9">
        <v>203</v>
      </c>
      <c r="J17" s="9">
        <v>203</v>
      </c>
      <c r="K17" s="9">
        <v>203</v>
      </c>
      <c r="L17" s="9">
        <v>203</v>
      </c>
      <c r="M17" s="9">
        <v>203</v>
      </c>
      <c r="N17" s="9">
        <v>203</v>
      </c>
      <c r="O17" s="9">
        <v>203</v>
      </c>
      <c r="P17" s="9">
        <v>203</v>
      </c>
      <c r="Q17" s="72">
        <f t="shared" si="3"/>
        <v>3624</v>
      </c>
      <c r="R17" s="20">
        <f>'Op Budget 2015'!Q15</f>
        <v>3610.5</v>
      </c>
    </row>
    <row r="18" spans="1:19" s="30" customFormat="1" x14ac:dyDescent="0.25">
      <c r="A18" s="30" t="s">
        <v>17</v>
      </c>
      <c r="B18" s="93" t="s">
        <v>156</v>
      </c>
      <c r="C18" s="32" t="s">
        <v>18</v>
      </c>
      <c r="D18" s="83">
        <v>0</v>
      </c>
      <c r="E18" s="29">
        <f>$D18*(1+Assumptions!$B$3)</f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74">
        <f t="shared" si="3"/>
        <v>0</v>
      </c>
      <c r="R18" s="45">
        <f>'Op Budget 2015'!Q16</f>
        <v>0</v>
      </c>
      <c r="S18" s="29"/>
    </row>
    <row r="19" spans="1:19" x14ac:dyDescent="0.25">
      <c r="A19" s="1" t="s">
        <v>19</v>
      </c>
      <c r="B19" s="92" t="s">
        <v>156</v>
      </c>
      <c r="C19" s="4" t="s">
        <v>20</v>
      </c>
      <c r="D19" s="77">
        <v>0</v>
      </c>
      <c r="E19" s="9">
        <f>$D19*(1+Assumptions!$B$3)</f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72">
        <f t="shared" si="3"/>
        <v>0</v>
      </c>
      <c r="R19" s="20">
        <f>'Op Budget 2015'!Q17</f>
        <v>0</v>
      </c>
    </row>
    <row r="20" spans="1:19" s="30" customFormat="1" x14ac:dyDescent="0.25">
      <c r="A20" s="30" t="s">
        <v>21</v>
      </c>
      <c r="B20" s="93" t="s">
        <v>156</v>
      </c>
      <c r="C20" s="32" t="s">
        <v>22</v>
      </c>
      <c r="D20" s="83">
        <v>457</v>
      </c>
      <c r="E20" s="29">
        <f>$D20*(1+Assumptions!$B$3)</f>
        <v>463.80929999999995</v>
      </c>
      <c r="F20" s="29">
        <f>$D20*(1+Assumptions!$B$3)</f>
        <v>463.80929999999995</v>
      </c>
      <c r="G20" s="29">
        <f>$D20*(1+Assumptions!$B$3)</f>
        <v>463.80929999999995</v>
      </c>
      <c r="H20" s="29">
        <f>$D20*(1+Assumptions!$B$3)</f>
        <v>463.80929999999995</v>
      </c>
      <c r="I20" s="29">
        <f>$D20*(1+Assumptions!$B$3)</f>
        <v>463.80929999999995</v>
      </c>
      <c r="J20" s="29">
        <f>$D20*(1+Assumptions!$B$3)</f>
        <v>463.80929999999995</v>
      </c>
      <c r="K20" s="29">
        <f>$D20*(1+Assumptions!$B$3)</f>
        <v>463.80929999999995</v>
      </c>
      <c r="L20" s="29">
        <f>$D20*(1+Assumptions!$B$3)</f>
        <v>463.80929999999995</v>
      </c>
      <c r="M20" s="29">
        <f>$D20*(1+Assumptions!$B$3)</f>
        <v>463.80929999999995</v>
      </c>
      <c r="N20" s="29">
        <f>$D20*(1+Assumptions!$B$3)</f>
        <v>463.80929999999995</v>
      </c>
      <c r="O20" s="29">
        <f>$D20*(1+Assumptions!$B$3)</f>
        <v>463.80929999999995</v>
      </c>
      <c r="P20" s="29">
        <f>$D20*(1+Assumptions!$B$3)</f>
        <v>463.80929999999995</v>
      </c>
      <c r="Q20" s="74">
        <f t="shared" si="3"/>
        <v>5565.7115999999996</v>
      </c>
      <c r="R20" s="45">
        <f>'Op Budget 2015'!Q18</f>
        <v>0</v>
      </c>
      <c r="S20" s="29"/>
    </row>
    <row r="21" spans="1:19" x14ac:dyDescent="0.25">
      <c r="A21" s="1" t="s">
        <v>23</v>
      </c>
      <c r="B21" s="92" t="s">
        <v>156</v>
      </c>
      <c r="C21" s="4" t="s">
        <v>24</v>
      </c>
      <c r="D21" s="77">
        <v>0</v>
      </c>
      <c r="E21" s="9">
        <v>1070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1000</v>
      </c>
      <c r="P21" s="9">
        <v>1000</v>
      </c>
      <c r="Q21" s="72">
        <f t="shared" si="3"/>
        <v>3070</v>
      </c>
      <c r="R21" s="20">
        <f>'Op Budget 2015'!Q19</f>
        <v>6981.2</v>
      </c>
    </row>
    <row r="22" spans="1:19" s="30" customFormat="1" x14ac:dyDescent="0.25">
      <c r="A22" s="30" t="s">
        <v>25</v>
      </c>
      <c r="B22" s="93" t="s">
        <v>156</v>
      </c>
      <c r="C22" s="32" t="s">
        <v>26</v>
      </c>
      <c r="D22" s="83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74">
        <f t="shared" si="3"/>
        <v>0</v>
      </c>
      <c r="R22" s="45">
        <f>'Op Budget 2015'!Q20</f>
        <v>1500</v>
      </c>
      <c r="S22" s="29"/>
    </row>
    <row r="23" spans="1:19" x14ac:dyDescent="0.25">
      <c r="A23" s="1" t="s">
        <v>73</v>
      </c>
      <c r="B23" s="92" t="s">
        <v>156</v>
      </c>
      <c r="C23" s="4" t="s">
        <v>27</v>
      </c>
      <c r="D23" s="77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72">
        <f t="shared" si="3"/>
        <v>0</v>
      </c>
      <c r="R23" s="20">
        <f>'Op Budget 2015'!Q21</f>
        <v>0</v>
      </c>
    </row>
    <row r="24" spans="1:19" s="30" customFormat="1" x14ac:dyDescent="0.25">
      <c r="A24" s="30" t="s">
        <v>28</v>
      </c>
      <c r="B24" s="93" t="s">
        <v>156</v>
      </c>
      <c r="C24" s="32" t="s">
        <v>29</v>
      </c>
      <c r="D24" s="83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74">
        <f t="shared" si="3"/>
        <v>0</v>
      </c>
      <c r="R24" s="45">
        <f>'Op Budget 2015'!Q22</f>
        <v>0</v>
      </c>
      <c r="S24" s="29"/>
    </row>
    <row r="25" spans="1:19" x14ac:dyDescent="0.25">
      <c r="A25" s="1" t="s">
        <v>74</v>
      </c>
      <c r="B25" s="92" t="s">
        <v>156</v>
      </c>
      <c r="C25" s="4" t="s">
        <v>30</v>
      </c>
      <c r="D25" s="77">
        <v>0</v>
      </c>
      <c r="E25" s="9">
        <v>0</v>
      </c>
      <c r="F25" s="9">
        <v>0</v>
      </c>
      <c r="G25" s="9">
        <v>0</v>
      </c>
      <c r="H25" s="9">
        <v>420</v>
      </c>
      <c r="I25" s="9">
        <v>500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72">
        <f t="shared" si="3"/>
        <v>920</v>
      </c>
      <c r="R25" s="20">
        <f>'Op Budget 2015'!Q23</f>
        <v>1093.5999999999999</v>
      </c>
    </row>
    <row r="26" spans="1:19" s="30" customFormat="1" x14ac:dyDescent="0.25">
      <c r="A26" s="30" t="s">
        <v>31</v>
      </c>
      <c r="B26" s="93" t="s">
        <v>156</v>
      </c>
      <c r="C26" s="32" t="s">
        <v>32</v>
      </c>
      <c r="D26" s="83">
        <v>0</v>
      </c>
      <c r="E26" s="29">
        <v>0</v>
      </c>
      <c r="F26" s="29">
        <v>0</v>
      </c>
      <c r="G26" s="29">
        <v>0</v>
      </c>
      <c r="H26" s="29">
        <v>2600</v>
      </c>
      <c r="I26" s="29">
        <v>4200</v>
      </c>
      <c r="J26" s="29">
        <v>0</v>
      </c>
      <c r="K26" s="29">
        <v>0</v>
      </c>
      <c r="L26" s="29">
        <v>2500</v>
      </c>
      <c r="M26" s="29">
        <v>0</v>
      </c>
      <c r="N26" s="29">
        <v>0</v>
      </c>
      <c r="O26" s="29">
        <v>2500</v>
      </c>
      <c r="P26" s="29">
        <v>0</v>
      </c>
      <c r="Q26" s="74">
        <f t="shared" si="3"/>
        <v>11800</v>
      </c>
      <c r="R26" s="45">
        <f>'Op Budget 2015'!Q24</f>
        <v>17403.190000000002</v>
      </c>
      <c r="S26" s="29"/>
    </row>
    <row r="27" spans="1:19" s="30" customFormat="1" x14ac:dyDescent="0.25">
      <c r="A27" s="30" t="s">
        <v>33</v>
      </c>
      <c r="B27" s="93" t="s">
        <v>156</v>
      </c>
      <c r="C27" s="32" t="s">
        <v>34</v>
      </c>
      <c r="D27" s="83">
        <v>0</v>
      </c>
      <c r="E27" s="29">
        <v>400</v>
      </c>
      <c r="F27" s="29">
        <v>400</v>
      </c>
      <c r="G27" s="29">
        <v>400</v>
      </c>
      <c r="H27" s="29">
        <v>400</v>
      </c>
      <c r="I27" s="29">
        <v>400</v>
      </c>
      <c r="J27" s="29">
        <v>400</v>
      </c>
      <c r="K27" s="29">
        <v>400</v>
      </c>
      <c r="L27" s="29">
        <v>400</v>
      </c>
      <c r="M27" s="29">
        <v>400</v>
      </c>
      <c r="N27" s="29">
        <v>400</v>
      </c>
      <c r="O27" s="29">
        <v>400</v>
      </c>
      <c r="P27" s="29">
        <v>400</v>
      </c>
      <c r="Q27" s="74">
        <f t="shared" si="3"/>
        <v>4800</v>
      </c>
      <c r="R27" s="45">
        <f>'Op Budget 2015'!Q25</f>
        <v>16309.830000000002</v>
      </c>
      <c r="S27" s="29"/>
    </row>
    <row r="28" spans="1:19" s="30" customFormat="1" x14ac:dyDescent="0.25">
      <c r="A28" s="30" t="s">
        <v>75</v>
      </c>
      <c r="B28" s="93" t="s">
        <v>156</v>
      </c>
      <c r="C28" s="32" t="s">
        <v>35</v>
      </c>
      <c r="D28" s="83">
        <v>0</v>
      </c>
      <c r="E28" s="29">
        <v>0</v>
      </c>
      <c r="F28" s="29">
        <f>$D28*(1+Assumptions!$B$3)</f>
        <v>0</v>
      </c>
      <c r="G28" s="29">
        <f>$D28*(1+Assumptions!$B$3)</f>
        <v>0</v>
      </c>
      <c r="H28" s="29">
        <v>0</v>
      </c>
      <c r="I28" s="29">
        <f>$D28*(1+Assumptions!$B$3)</f>
        <v>0</v>
      </c>
      <c r="J28" s="29">
        <f>$D28*(1+Assumptions!$B$3)</f>
        <v>0</v>
      </c>
      <c r="K28" s="29">
        <v>0</v>
      </c>
      <c r="L28" s="29">
        <f>$D28*(1+Assumptions!$B$3)</f>
        <v>0</v>
      </c>
      <c r="M28" s="29">
        <f>$D28*(1+Assumptions!$B$3)</f>
        <v>0</v>
      </c>
      <c r="N28" s="29">
        <v>0</v>
      </c>
      <c r="O28" s="29">
        <f>$D28*(1+Assumptions!$B$3)</f>
        <v>0</v>
      </c>
      <c r="P28" s="29">
        <f>$D28*(1+Assumptions!$B$3)</f>
        <v>0</v>
      </c>
      <c r="Q28" s="74">
        <f t="shared" si="3"/>
        <v>0</v>
      </c>
      <c r="R28" s="45">
        <f>'Op Budget 2015'!Q26</f>
        <v>3830.1099999999997</v>
      </c>
      <c r="S28" s="29"/>
    </row>
    <row r="29" spans="1:19" x14ac:dyDescent="0.25">
      <c r="A29" s="1" t="s">
        <v>38</v>
      </c>
      <c r="B29" s="92" t="s">
        <v>156</v>
      </c>
      <c r="C29" s="4" t="s">
        <v>39</v>
      </c>
      <c r="D29" s="77">
        <v>0</v>
      </c>
      <c r="E29" s="9">
        <f>E10*0.05</f>
        <v>1703.3500000000001</v>
      </c>
      <c r="F29" s="9">
        <f t="shared" ref="F29:P29" si="5">F10*0.05</f>
        <v>1703.3500000000001</v>
      </c>
      <c r="G29" s="9">
        <f t="shared" si="5"/>
        <v>1703.3500000000001</v>
      </c>
      <c r="H29" s="9">
        <f t="shared" si="5"/>
        <v>1703.3500000000001</v>
      </c>
      <c r="I29" s="9">
        <f t="shared" si="5"/>
        <v>1780.4177419354842</v>
      </c>
      <c r="J29" s="9">
        <f t="shared" si="5"/>
        <v>1874</v>
      </c>
      <c r="K29" s="9">
        <f t="shared" si="5"/>
        <v>1941.5</v>
      </c>
      <c r="L29" s="9">
        <f t="shared" si="5"/>
        <v>1941.5</v>
      </c>
      <c r="M29" s="9">
        <f t="shared" si="5"/>
        <v>2014.8375000000001</v>
      </c>
      <c r="N29" s="9">
        <f t="shared" si="5"/>
        <v>2088.1750000000002</v>
      </c>
      <c r="O29" s="9">
        <f t="shared" si="5"/>
        <v>2234.85</v>
      </c>
      <c r="P29" s="9">
        <f t="shared" si="5"/>
        <v>2234.85</v>
      </c>
      <c r="Q29" s="72">
        <f t="shared" si="3"/>
        <v>22923.530241935481</v>
      </c>
      <c r="R29" s="20">
        <f>'Op Budget 2015'!Q27</f>
        <v>0</v>
      </c>
    </row>
    <row r="30" spans="1:19" s="30" customFormat="1" x14ac:dyDescent="0.25">
      <c r="A30" s="30" t="s">
        <v>102</v>
      </c>
      <c r="B30" s="93" t="s">
        <v>156</v>
      </c>
      <c r="C30" s="32" t="s">
        <v>36</v>
      </c>
      <c r="D30" s="83">
        <f>'Op Budget 2015'!Q28/12</f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74">
        <f t="shared" si="3"/>
        <v>0</v>
      </c>
      <c r="R30" s="45">
        <f>'Op Budget 2015'!Q28</f>
        <v>0</v>
      </c>
      <c r="S30" s="29"/>
    </row>
    <row r="31" spans="1:19" x14ac:dyDescent="0.25">
      <c r="A31" s="1" t="s">
        <v>103</v>
      </c>
      <c r="B31" s="92" t="s">
        <v>156</v>
      </c>
      <c r="C31" s="4" t="s">
        <v>37</v>
      </c>
      <c r="D31" s="77">
        <v>200</v>
      </c>
      <c r="E31" s="9">
        <f>$D31*(1+Assumptions!$B$3)</f>
        <v>202.98</v>
      </c>
      <c r="F31" s="9">
        <f>$D31*(1+Assumptions!$B$3)</f>
        <v>202.98</v>
      </c>
      <c r="G31" s="9">
        <f>$D31*(1+Assumptions!$B$3)</f>
        <v>202.98</v>
      </c>
      <c r="H31" s="9">
        <f>$D31*(1+Assumptions!$B$3)</f>
        <v>202.98</v>
      </c>
      <c r="I31" s="9">
        <f>$D31*(1+Assumptions!$B$3)</f>
        <v>202.98</v>
      </c>
      <c r="J31" s="9">
        <f>$D31*(1+Assumptions!$B$3)</f>
        <v>202.98</v>
      </c>
      <c r="K31" s="9">
        <f>$D31*(1+Assumptions!$B$3)</f>
        <v>202.98</v>
      </c>
      <c r="L31" s="9">
        <f>$D31*(1+Assumptions!$B$3)</f>
        <v>202.98</v>
      </c>
      <c r="M31" s="9">
        <f>$D31*(1+Assumptions!$B$3)</f>
        <v>202.98</v>
      </c>
      <c r="N31" s="9">
        <f>$D31*(1+Assumptions!$B$3)</f>
        <v>202.98</v>
      </c>
      <c r="O31" s="9">
        <f>$D31*(1+Assumptions!$B$3)</f>
        <v>202.98</v>
      </c>
      <c r="P31" s="9">
        <f>$D31*(1+Assumptions!$B$3)</f>
        <v>202.98</v>
      </c>
      <c r="Q31" s="72">
        <f t="shared" si="3"/>
        <v>2435.7599999999998</v>
      </c>
      <c r="R31" s="20">
        <f>'Op Budget 2015'!Q29</f>
        <v>16278.9</v>
      </c>
    </row>
    <row r="32" spans="1:19" s="30" customFormat="1" x14ac:dyDescent="0.25">
      <c r="A32" s="30" t="s">
        <v>104</v>
      </c>
      <c r="B32" s="93" t="s">
        <v>156</v>
      </c>
      <c r="C32" s="32" t="s">
        <v>40</v>
      </c>
      <c r="D32" s="83">
        <f>'Op Budget 2015'!Q30/12</f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74">
        <f t="shared" si="3"/>
        <v>0</v>
      </c>
      <c r="R32" s="45">
        <f>'Op Budget 2015'!Q30</f>
        <v>0</v>
      </c>
      <c r="S32" s="29"/>
    </row>
    <row r="33" spans="1:19" x14ac:dyDescent="0.25">
      <c r="A33" s="1" t="s">
        <v>105</v>
      </c>
      <c r="B33" s="92" t="s">
        <v>156</v>
      </c>
      <c r="C33" s="4" t="s">
        <v>42</v>
      </c>
      <c r="D33" s="77">
        <f>'Op Budget 2015'!Q31/12</f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72">
        <f t="shared" si="3"/>
        <v>0</v>
      </c>
      <c r="R33" s="20">
        <f>'Op Budget 2015'!Q31</f>
        <v>0</v>
      </c>
    </row>
    <row r="34" spans="1:19" s="30" customFormat="1" x14ac:dyDescent="0.25">
      <c r="A34" s="30" t="s">
        <v>76</v>
      </c>
      <c r="B34" s="93" t="s">
        <v>156</v>
      </c>
      <c r="C34" s="32" t="s">
        <v>41</v>
      </c>
      <c r="D34" s="83">
        <v>0</v>
      </c>
      <c r="E34" s="29">
        <v>22163.75</v>
      </c>
      <c r="F34" s="29">
        <v>0</v>
      </c>
      <c r="G34" s="29">
        <v>0</v>
      </c>
      <c r="H34" s="29">
        <v>22163.75</v>
      </c>
      <c r="I34" s="29">
        <v>0</v>
      </c>
      <c r="J34" s="29">
        <v>0</v>
      </c>
      <c r="K34" s="29">
        <v>22163.75</v>
      </c>
      <c r="L34" s="29">
        <v>0</v>
      </c>
      <c r="M34" s="29">
        <v>0</v>
      </c>
      <c r="N34" s="29">
        <v>22163.75</v>
      </c>
      <c r="O34" s="29">
        <v>0</v>
      </c>
      <c r="P34" s="29">
        <v>0</v>
      </c>
      <c r="Q34" s="74">
        <f t="shared" si="3"/>
        <v>88655</v>
      </c>
      <c r="R34" s="45">
        <f>'Op Budget 2015'!Q32</f>
        <v>88655</v>
      </c>
      <c r="S34" s="29"/>
    </row>
    <row r="35" spans="1:19" x14ac:dyDescent="0.25">
      <c r="A35" s="1" t="s">
        <v>43</v>
      </c>
      <c r="B35" s="92" t="s">
        <v>156</v>
      </c>
      <c r="C35" s="4" t="s">
        <v>44</v>
      </c>
      <c r="D35" s="77">
        <v>0</v>
      </c>
      <c r="E35" s="9">
        <v>0</v>
      </c>
      <c r="F35" s="9">
        <v>0</v>
      </c>
      <c r="G35" s="9">
        <v>300</v>
      </c>
      <c r="H35" s="9">
        <v>0</v>
      </c>
      <c r="I35" s="9">
        <v>0</v>
      </c>
      <c r="J35" s="9">
        <v>970</v>
      </c>
      <c r="K35" s="9">
        <v>0</v>
      </c>
      <c r="L35" s="9">
        <v>0</v>
      </c>
      <c r="M35" s="9">
        <v>970</v>
      </c>
      <c r="N35" s="9">
        <v>0</v>
      </c>
      <c r="O35" s="9">
        <v>0</v>
      </c>
      <c r="P35" s="9">
        <v>0</v>
      </c>
      <c r="Q35" s="72">
        <f t="shared" si="3"/>
        <v>2240</v>
      </c>
      <c r="R35" s="20">
        <f>'Op Budget 2015'!Q33</f>
        <v>1652</v>
      </c>
    </row>
    <row r="36" spans="1:19" s="30" customFormat="1" x14ac:dyDescent="0.25">
      <c r="A36" s="30" t="s">
        <v>81</v>
      </c>
      <c r="B36" s="93" t="s">
        <v>156</v>
      </c>
      <c r="C36" s="32" t="s">
        <v>45</v>
      </c>
      <c r="D36" s="83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74">
        <f t="shared" si="3"/>
        <v>0</v>
      </c>
      <c r="R36" s="45">
        <f>'Op Budget 2015'!Q34</f>
        <v>5019.4699999999993</v>
      </c>
      <c r="S36" s="29"/>
    </row>
    <row r="37" spans="1:19" x14ac:dyDescent="0.25">
      <c r="A37" s="1" t="s">
        <v>77</v>
      </c>
      <c r="B37" s="92" t="s">
        <v>156</v>
      </c>
      <c r="C37" s="4" t="s">
        <v>46</v>
      </c>
      <c r="D37" s="77">
        <f>'Op Budget 2015'!Q35/12</f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72">
        <f t="shared" si="3"/>
        <v>0</v>
      </c>
      <c r="R37" s="20">
        <f>'Op Budget 2015'!Q35</f>
        <v>0</v>
      </c>
    </row>
    <row r="38" spans="1:19" s="30" customFormat="1" x14ac:dyDescent="0.25">
      <c r="A38" s="30" t="s">
        <v>78</v>
      </c>
      <c r="B38" s="93" t="s">
        <v>156</v>
      </c>
      <c r="C38" s="32" t="s">
        <v>48</v>
      </c>
      <c r="D38" s="83">
        <f>'Op Budget 2015'!Q36/12</f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74">
        <f t="shared" si="3"/>
        <v>0</v>
      </c>
      <c r="R38" s="45">
        <f>'Op Budget 2015'!Q36</f>
        <v>0</v>
      </c>
      <c r="S38" s="29"/>
    </row>
    <row r="39" spans="1:19" x14ac:dyDescent="0.25">
      <c r="A39" s="1" t="s">
        <v>71</v>
      </c>
      <c r="B39" s="92" t="s">
        <v>156</v>
      </c>
      <c r="C39" s="4" t="s">
        <v>72</v>
      </c>
      <c r="D39" s="77">
        <f>'Op Budget 2015'!Q37/12</f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72">
        <f t="shared" si="3"/>
        <v>0</v>
      </c>
      <c r="R39" s="20">
        <f>'Op Budget 2015'!Q37</f>
        <v>0</v>
      </c>
    </row>
    <row r="40" spans="1:19" s="30" customFormat="1" x14ac:dyDescent="0.25">
      <c r="A40" s="30" t="s">
        <v>128</v>
      </c>
      <c r="B40" s="93" t="s">
        <v>156</v>
      </c>
      <c r="C40" s="32" t="s">
        <v>129</v>
      </c>
      <c r="D40" s="83">
        <v>15</v>
      </c>
      <c r="E40" s="29">
        <f>$D40*(1+Assumptions!$B$3)</f>
        <v>15.223499999999998</v>
      </c>
      <c r="F40" s="29">
        <f>$D40*(1+Assumptions!$B$3)</f>
        <v>15.223499999999998</v>
      </c>
      <c r="G40" s="29">
        <f>$D40*(1+Assumptions!$B$3)</f>
        <v>15.223499999999998</v>
      </c>
      <c r="H40" s="29">
        <f>$D40*(1+Assumptions!$B$3)</f>
        <v>15.223499999999998</v>
      </c>
      <c r="I40" s="29">
        <f>$D40*(1+Assumptions!$B$3)</f>
        <v>15.223499999999998</v>
      </c>
      <c r="J40" s="29">
        <f>$D40*(1+Assumptions!$B$3)</f>
        <v>15.223499999999998</v>
      </c>
      <c r="K40" s="29">
        <f>$D40*(1+Assumptions!$B$3)</f>
        <v>15.223499999999998</v>
      </c>
      <c r="L40" s="29">
        <f>$D40*(1+Assumptions!$B$3)</f>
        <v>15.223499999999998</v>
      </c>
      <c r="M40" s="29">
        <f>$D40*(1+Assumptions!$B$3)</f>
        <v>15.223499999999998</v>
      </c>
      <c r="N40" s="29">
        <f>$D40*(1+Assumptions!$B$3)</f>
        <v>15.223499999999998</v>
      </c>
      <c r="O40" s="29">
        <f>$D40*(1+Assumptions!$B$3)</f>
        <v>15.223499999999998</v>
      </c>
      <c r="P40" s="29">
        <f>$D40*(1+Assumptions!$B$3)</f>
        <v>15.223499999999998</v>
      </c>
      <c r="Q40" s="74">
        <f t="shared" si="3"/>
        <v>182.68199999999999</v>
      </c>
      <c r="R40" s="45">
        <f>'Op Budget 2015'!Q38</f>
        <v>0</v>
      </c>
      <c r="S40" s="29"/>
    </row>
    <row r="41" spans="1:19" x14ac:dyDescent="0.25">
      <c r="A41" s="1" t="s">
        <v>49</v>
      </c>
      <c r="B41" s="92" t="s">
        <v>156</v>
      </c>
      <c r="C41" s="4" t="s">
        <v>50</v>
      </c>
      <c r="D41" s="77">
        <f>'Op Budget 2015'!Q39/12</f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72">
        <f t="shared" si="3"/>
        <v>0</v>
      </c>
      <c r="R41" s="20">
        <f>'Op Budget 2015'!Q39</f>
        <v>0</v>
      </c>
    </row>
    <row r="42" spans="1:19" s="30" customFormat="1" x14ac:dyDescent="0.25">
      <c r="A42" s="30" t="s">
        <v>79</v>
      </c>
      <c r="B42" s="93" t="s">
        <v>156</v>
      </c>
      <c r="C42" s="32" t="s">
        <v>51</v>
      </c>
      <c r="D42" s="83">
        <f>'Op Budget 2015'!Q40/12</f>
        <v>913.61083333333329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74">
        <f t="shared" si="3"/>
        <v>0</v>
      </c>
      <c r="R42" s="45">
        <f>'Op Budget 2015'!Q40</f>
        <v>10963.33</v>
      </c>
      <c r="S42" s="29"/>
    </row>
    <row r="43" spans="1:19" x14ac:dyDescent="0.25">
      <c r="A43" s="1" t="s">
        <v>80</v>
      </c>
      <c r="B43" s="92" t="s">
        <v>156</v>
      </c>
      <c r="C43" s="4" t="s">
        <v>52</v>
      </c>
      <c r="D43" s="77">
        <v>0</v>
      </c>
      <c r="E43" s="9">
        <v>2000</v>
      </c>
      <c r="F43" s="9">
        <v>200</v>
      </c>
      <c r="G43" s="9">
        <v>2000</v>
      </c>
      <c r="H43" s="9">
        <v>750</v>
      </c>
      <c r="I43" s="9">
        <v>750</v>
      </c>
      <c r="J43" s="9">
        <v>350</v>
      </c>
      <c r="K43" s="9">
        <v>350</v>
      </c>
      <c r="L43" s="9">
        <v>350</v>
      </c>
      <c r="M43" s="9">
        <v>350</v>
      </c>
      <c r="N43" s="9">
        <v>350</v>
      </c>
      <c r="O43" s="9">
        <v>350</v>
      </c>
      <c r="P43" s="9">
        <v>350</v>
      </c>
      <c r="Q43" s="72">
        <f t="shared" si="3"/>
        <v>8150</v>
      </c>
      <c r="R43" s="20">
        <f>'Op Budget 2015'!Q41</f>
        <v>16965.75</v>
      </c>
    </row>
    <row r="44" spans="1:19" s="30" customFormat="1" x14ac:dyDescent="0.25">
      <c r="A44" s="30" t="s">
        <v>53</v>
      </c>
      <c r="B44" s="93" t="s">
        <v>156</v>
      </c>
      <c r="C44" s="32" t="s">
        <v>54</v>
      </c>
      <c r="D44" s="83">
        <v>300</v>
      </c>
      <c r="E44" s="29">
        <f>$D44</f>
        <v>300</v>
      </c>
      <c r="F44" s="29">
        <f t="shared" ref="F44:P44" si="6">$D44</f>
        <v>300</v>
      </c>
      <c r="G44" s="29">
        <f t="shared" si="6"/>
        <v>300</v>
      </c>
      <c r="H44" s="29">
        <f t="shared" si="6"/>
        <v>300</v>
      </c>
      <c r="I44" s="29">
        <f t="shared" si="6"/>
        <v>300</v>
      </c>
      <c r="J44" s="29">
        <f t="shared" si="6"/>
        <v>300</v>
      </c>
      <c r="K44" s="29">
        <f t="shared" si="6"/>
        <v>300</v>
      </c>
      <c r="L44" s="29">
        <f t="shared" si="6"/>
        <v>300</v>
      </c>
      <c r="M44" s="29">
        <f t="shared" si="6"/>
        <v>300</v>
      </c>
      <c r="N44" s="29">
        <f t="shared" si="6"/>
        <v>300</v>
      </c>
      <c r="O44" s="29">
        <f t="shared" si="6"/>
        <v>300</v>
      </c>
      <c r="P44" s="29">
        <f t="shared" si="6"/>
        <v>300</v>
      </c>
      <c r="Q44" s="74">
        <f t="shared" si="3"/>
        <v>3600</v>
      </c>
      <c r="R44" s="45">
        <f>'Op Budget 2015'!Q42</f>
        <v>12170</v>
      </c>
      <c r="S44" s="29"/>
    </row>
    <row r="45" spans="1:19" x14ac:dyDescent="0.25">
      <c r="A45" s="91" t="s">
        <v>152</v>
      </c>
      <c r="B45" s="92" t="s">
        <v>156</v>
      </c>
      <c r="C45" s="4" t="s">
        <v>55</v>
      </c>
      <c r="D45" s="77">
        <f>'Op Budget 2015'!Q43/12</f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72">
        <f t="shared" si="3"/>
        <v>0</v>
      </c>
      <c r="R45" s="20">
        <f>'Op Budget 2015'!Q43</f>
        <v>0</v>
      </c>
    </row>
    <row r="46" spans="1:19" s="30" customFormat="1" x14ac:dyDescent="0.25">
      <c r="A46" s="30" t="s">
        <v>56</v>
      </c>
      <c r="B46" s="93" t="s">
        <v>156</v>
      </c>
      <c r="C46" s="32" t="s">
        <v>57</v>
      </c>
      <c r="D46" s="83">
        <f>'Op Budget 2015'!Q44/12</f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74">
        <f t="shared" si="3"/>
        <v>0</v>
      </c>
      <c r="R46" s="45">
        <f>'Op Budget 2015'!Q44</f>
        <v>0</v>
      </c>
      <c r="S46" s="29"/>
    </row>
    <row r="47" spans="1:19" x14ac:dyDescent="0.25">
      <c r="A47" s="1" t="s">
        <v>82</v>
      </c>
      <c r="B47" s="92" t="s">
        <v>156</v>
      </c>
      <c r="C47" s="4" t="s">
        <v>58</v>
      </c>
      <c r="D47" s="77">
        <v>100</v>
      </c>
      <c r="E47" s="9">
        <f>$D47*(1+Assumptions!$B$3)</f>
        <v>101.49</v>
      </c>
      <c r="F47" s="9">
        <f>$D47*(1+Assumptions!$B$3)</f>
        <v>101.49</v>
      </c>
      <c r="G47" s="9">
        <f>$D47*(1+Assumptions!$B$3)</f>
        <v>101.49</v>
      </c>
      <c r="H47" s="9">
        <f>$D47*(1+Assumptions!$B$3)</f>
        <v>101.49</v>
      </c>
      <c r="I47" s="9">
        <f>$D47*(1+Assumptions!$B$3)</f>
        <v>101.49</v>
      </c>
      <c r="J47" s="9">
        <f>$D47*(1+Assumptions!$B$3)</f>
        <v>101.49</v>
      </c>
      <c r="K47" s="9">
        <f>$D47*(1+Assumptions!$B$3)</f>
        <v>101.49</v>
      </c>
      <c r="L47" s="9">
        <f>$D47*(1+Assumptions!$B$3)</f>
        <v>101.49</v>
      </c>
      <c r="M47" s="9">
        <f>$D47*(1+Assumptions!$B$3)</f>
        <v>101.49</v>
      </c>
      <c r="N47" s="9">
        <f>$D47*(1+Assumptions!$B$3)</f>
        <v>101.49</v>
      </c>
      <c r="O47" s="9">
        <f>$D47*(1+Assumptions!$B$3)</f>
        <v>101.49</v>
      </c>
      <c r="P47" s="9">
        <f>$D47*(1+Assumptions!$B$3)</f>
        <v>101.49</v>
      </c>
      <c r="Q47" s="72">
        <f t="shared" si="3"/>
        <v>1217.8799999999999</v>
      </c>
      <c r="R47" s="20">
        <f>'Op Budget 2015'!Q45</f>
        <v>1058.8900000000001</v>
      </c>
    </row>
    <row r="48" spans="1:19" s="30" customFormat="1" x14ac:dyDescent="0.25">
      <c r="A48" s="30" t="s">
        <v>59</v>
      </c>
      <c r="B48" s="93" t="s">
        <v>156</v>
      </c>
      <c r="C48" s="32" t="s">
        <v>60</v>
      </c>
      <c r="D48" s="83">
        <f>'Op Budget 2015'!Q46/12</f>
        <v>16.2225</v>
      </c>
      <c r="E48" s="29">
        <v>0</v>
      </c>
      <c r="F48" s="29">
        <v>0</v>
      </c>
      <c r="G48" s="29">
        <v>103</v>
      </c>
      <c r="H48" s="29">
        <v>20</v>
      </c>
      <c r="I48" s="29">
        <v>0</v>
      </c>
      <c r="J48" s="29">
        <v>0</v>
      </c>
      <c r="K48" s="29">
        <v>117</v>
      </c>
      <c r="L48" s="29">
        <v>78</v>
      </c>
      <c r="M48" s="29">
        <v>0</v>
      </c>
      <c r="N48" s="29">
        <v>0</v>
      </c>
      <c r="O48" s="29">
        <v>0</v>
      </c>
      <c r="P48" s="29">
        <v>0</v>
      </c>
      <c r="Q48" s="74">
        <f t="shared" si="3"/>
        <v>318</v>
      </c>
      <c r="R48" s="45">
        <f>'Op Budget 2015'!Q46</f>
        <v>194.67000000000002</v>
      </c>
      <c r="S48" s="29"/>
    </row>
    <row r="49" spans="1:19" x14ac:dyDescent="0.25">
      <c r="A49" s="1" t="s">
        <v>61</v>
      </c>
      <c r="B49" s="92" t="s">
        <v>156</v>
      </c>
      <c r="C49" s="4" t="s">
        <v>62</v>
      </c>
      <c r="D49" s="77">
        <v>80</v>
      </c>
      <c r="E49" s="9">
        <f>$D49*(1+Assumptions!$B$3)</f>
        <v>81.191999999999993</v>
      </c>
      <c r="F49" s="9">
        <f>$D49*(1+Assumptions!$B$3)</f>
        <v>81.191999999999993</v>
      </c>
      <c r="G49" s="9">
        <f>$D49*(1+Assumptions!$B$3)</f>
        <v>81.191999999999993</v>
      </c>
      <c r="H49" s="9">
        <f>$D49*(1+Assumptions!$B$3)</f>
        <v>81.191999999999993</v>
      </c>
      <c r="I49" s="9">
        <f>$D49*(1+Assumptions!$B$3)</f>
        <v>81.191999999999993</v>
      </c>
      <c r="J49" s="9">
        <f>$D49*(1+Assumptions!$B$3)</f>
        <v>81.191999999999993</v>
      </c>
      <c r="K49" s="9">
        <f>$D49*(1+Assumptions!$B$3)</f>
        <v>81.191999999999993</v>
      </c>
      <c r="L49" s="9">
        <f>$D49*(1+Assumptions!$B$3)</f>
        <v>81.191999999999993</v>
      </c>
      <c r="M49" s="9">
        <f>$D49*(1+Assumptions!$B$3)</f>
        <v>81.191999999999993</v>
      </c>
      <c r="N49" s="9">
        <f>$D49*(1+Assumptions!$B$3)</f>
        <v>81.191999999999993</v>
      </c>
      <c r="O49" s="9">
        <f>$D49*(1+Assumptions!$B$3)</f>
        <v>81.191999999999993</v>
      </c>
      <c r="P49" s="9">
        <f>$D49*(1+Assumptions!$B$3)</f>
        <v>81.191999999999993</v>
      </c>
      <c r="Q49" s="72">
        <f t="shared" si="3"/>
        <v>974.30399999999997</v>
      </c>
      <c r="R49" s="20">
        <f>'Op Budget 2015'!Q47</f>
        <v>681.67000000000007</v>
      </c>
    </row>
    <row r="50" spans="1:19" s="30" customFormat="1" x14ac:dyDescent="0.25">
      <c r="A50" s="30" t="s">
        <v>63</v>
      </c>
      <c r="B50" s="93" t="s">
        <v>156</v>
      </c>
      <c r="C50" s="32" t="s">
        <v>64</v>
      </c>
      <c r="D50" s="83">
        <f>'Op Budget 2015'!Q48/12</f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3500</v>
      </c>
      <c r="Q50" s="74">
        <f t="shared" si="3"/>
        <v>3500</v>
      </c>
      <c r="R50" s="45">
        <f>'Op Budget 2015'!Q48</f>
        <v>0</v>
      </c>
      <c r="S50" s="29"/>
    </row>
    <row r="51" spans="1:19" x14ac:dyDescent="0.25">
      <c r="A51" s="1" t="s">
        <v>67</v>
      </c>
      <c r="B51" s="92" t="s">
        <v>156</v>
      </c>
      <c r="C51" s="4" t="s">
        <v>68</v>
      </c>
      <c r="D51" s="77">
        <v>50</v>
      </c>
      <c r="E51" s="9">
        <f>$D51</f>
        <v>50</v>
      </c>
      <c r="F51" s="9">
        <f t="shared" ref="F51:P51" si="7">$D51</f>
        <v>50</v>
      </c>
      <c r="G51" s="9">
        <f t="shared" si="7"/>
        <v>50</v>
      </c>
      <c r="H51" s="9">
        <f t="shared" si="7"/>
        <v>50</v>
      </c>
      <c r="I51" s="9">
        <f t="shared" si="7"/>
        <v>50</v>
      </c>
      <c r="J51" s="9">
        <f t="shared" si="7"/>
        <v>50</v>
      </c>
      <c r="K51" s="9">
        <f t="shared" si="7"/>
        <v>50</v>
      </c>
      <c r="L51" s="9">
        <f t="shared" si="7"/>
        <v>50</v>
      </c>
      <c r="M51" s="9">
        <f t="shared" si="7"/>
        <v>50</v>
      </c>
      <c r="N51" s="9">
        <f t="shared" si="7"/>
        <v>50</v>
      </c>
      <c r="O51" s="9">
        <f t="shared" si="7"/>
        <v>50</v>
      </c>
      <c r="P51" s="9">
        <f t="shared" si="7"/>
        <v>50</v>
      </c>
      <c r="Q51" s="72">
        <f t="shared" si="3"/>
        <v>600</v>
      </c>
      <c r="R51" s="20">
        <f>'Op Budget 2015'!Q49</f>
        <v>251</v>
      </c>
    </row>
    <row r="52" spans="1:19" s="30" customFormat="1" x14ac:dyDescent="0.25">
      <c r="A52" s="30" t="s">
        <v>65</v>
      </c>
      <c r="B52" s="93" t="s">
        <v>156</v>
      </c>
      <c r="C52" s="32" t="s">
        <v>66</v>
      </c>
      <c r="D52" s="83">
        <f>'Op Budget 2015'!Q50/12</f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74">
        <f t="shared" si="3"/>
        <v>0</v>
      </c>
      <c r="R52" s="45">
        <f>'Op Budget 2015'!Q50</f>
        <v>0</v>
      </c>
      <c r="S52" s="29"/>
    </row>
    <row r="53" spans="1:19" x14ac:dyDescent="0.25">
      <c r="A53" s="1" t="s">
        <v>69</v>
      </c>
      <c r="B53" s="92" t="s">
        <v>156</v>
      </c>
      <c r="C53" s="4" t="s">
        <v>70</v>
      </c>
      <c r="D53" s="77">
        <v>15</v>
      </c>
      <c r="E53" s="9">
        <f>$D53</f>
        <v>15</v>
      </c>
      <c r="F53" s="9">
        <f t="shared" ref="F53:P53" si="8">$D53</f>
        <v>15</v>
      </c>
      <c r="G53" s="9">
        <f t="shared" si="8"/>
        <v>15</v>
      </c>
      <c r="H53" s="9">
        <f t="shared" si="8"/>
        <v>15</v>
      </c>
      <c r="I53" s="9">
        <f t="shared" si="8"/>
        <v>15</v>
      </c>
      <c r="J53" s="9">
        <f t="shared" si="8"/>
        <v>15</v>
      </c>
      <c r="K53" s="9">
        <f t="shared" si="8"/>
        <v>15</v>
      </c>
      <c r="L53" s="9">
        <f t="shared" si="8"/>
        <v>15</v>
      </c>
      <c r="M53" s="9">
        <f t="shared" si="8"/>
        <v>15</v>
      </c>
      <c r="N53" s="9">
        <f t="shared" si="8"/>
        <v>15</v>
      </c>
      <c r="O53" s="9">
        <f t="shared" si="8"/>
        <v>15</v>
      </c>
      <c r="P53" s="9">
        <f t="shared" si="8"/>
        <v>15</v>
      </c>
      <c r="Q53" s="72">
        <f t="shared" si="3"/>
        <v>180</v>
      </c>
      <c r="R53" s="20">
        <f>'Op Budget 2015'!Q51</f>
        <v>98.06</v>
      </c>
    </row>
    <row r="54" spans="1:19" s="30" customFormat="1" x14ac:dyDescent="0.25">
      <c r="A54" s="30" t="s">
        <v>83</v>
      </c>
      <c r="B54" s="93" t="s">
        <v>156</v>
      </c>
      <c r="C54" s="32"/>
      <c r="D54" s="83">
        <f>'Op Budget 2015'!Q52/12</f>
        <v>10.145000000000001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74">
        <f t="shared" si="3"/>
        <v>0</v>
      </c>
      <c r="R54" s="45">
        <f>'Op Budget 2015'!Q52</f>
        <v>121.74000000000001</v>
      </c>
      <c r="S54" s="29"/>
    </row>
    <row r="56" spans="1:19" s="33" customFormat="1" x14ac:dyDescent="0.25">
      <c r="A56" s="33" t="s">
        <v>84</v>
      </c>
      <c r="B56" s="34"/>
      <c r="C56" s="34"/>
      <c r="D56" s="81"/>
      <c r="E56" s="35">
        <f t="shared" ref="E56:P56" si="9">SUM(E15:E55)</f>
        <v>29371.264800000001</v>
      </c>
      <c r="F56" s="35">
        <f t="shared" si="9"/>
        <v>4337.5147999999999</v>
      </c>
      <c r="G56" s="35">
        <f t="shared" si="9"/>
        <v>6540.5147999999999</v>
      </c>
      <c r="H56" s="35">
        <f t="shared" si="9"/>
        <v>30688.264800000001</v>
      </c>
      <c r="I56" s="35">
        <f t="shared" si="9"/>
        <v>9964.5825419354824</v>
      </c>
      <c r="J56" s="35">
        <f t="shared" si="9"/>
        <v>5928.1647999999996</v>
      </c>
      <c r="K56" s="35">
        <f t="shared" si="9"/>
        <v>27306.414799999999</v>
      </c>
      <c r="L56" s="35">
        <f t="shared" si="9"/>
        <v>7603.6647999999996</v>
      </c>
      <c r="M56" s="35">
        <f t="shared" si="9"/>
        <v>6069.0022999999992</v>
      </c>
      <c r="N56" s="35">
        <f t="shared" si="9"/>
        <v>27336.089800000002</v>
      </c>
      <c r="O56" s="35">
        <f t="shared" si="9"/>
        <v>8772.014799999999</v>
      </c>
      <c r="P56" s="35">
        <f t="shared" si="9"/>
        <v>9772.0148000000008</v>
      </c>
      <c r="Q56" s="75">
        <f>SUM(E56:P56)</f>
        <v>173689.5078419355</v>
      </c>
      <c r="R56" s="44">
        <f>SUM(R15:R55)</f>
        <v>206422.51</v>
      </c>
      <c r="S56" s="36"/>
    </row>
    <row r="58" spans="1:19" s="37" customFormat="1" x14ac:dyDescent="0.25">
      <c r="A58" s="37" t="s">
        <v>138</v>
      </c>
      <c r="B58" s="38"/>
      <c r="C58" s="38"/>
      <c r="D58" s="84"/>
      <c r="E58" s="39">
        <f>SUM(E15:E29)</f>
        <v>4441.6293000000005</v>
      </c>
      <c r="F58" s="39">
        <f t="shared" ref="F58:P58" si="10">SUM(F15:F29)</f>
        <v>3371.6293000000001</v>
      </c>
      <c r="G58" s="39">
        <f t="shared" si="10"/>
        <v>3371.6293000000001</v>
      </c>
      <c r="H58" s="39">
        <f t="shared" si="10"/>
        <v>6988.6293000000005</v>
      </c>
      <c r="I58" s="39">
        <f t="shared" si="10"/>
        <v>8448.6970419354839</v>
      </c>
      <c r="J58" s="39">
        <f t="shared" si="10"/>
        <v>3842.2793000000001</v>
      </c>
      <c r="K58" s="39">
        <f t="shared" si="10"/>
        <v>3909.7793000000001</v>
      </c>
      <c r="L58" s="39">
        <f t="shared" si="10"/>
        <v>6409.7793000000001</v>
      </c>
      <c r="M58" s="39">
        <f t="shared" si="10"/>
        <v>3983.1167999999998</v>
      </c>
      <c r="N58" s="39">
        <f t="shared" si="10"/>
        <v>4056.4543000000003</v>
      </c>
      <c r="O58" s="39">
        <f t="shared" si="10"/>
        <v>7656.1293000000005</v>
      </c>
      <c r="P58" s="39">
        <f t="shared" si="10"/>
        <v>5156.1293000000005</v>
      </c>
      <c r="Q58" s="76">
        <f>SUM(E58:P58)</f>
        <v>61635.881841935494</v>
      </c>
      <c r="R58" s="46">
        <f>'Op Budget 2015'!Q56</f>
        <v>52312.03</v>
      </c>
      <c r="S58" s="39"/>
    </row>
    <row r="60" spans="1:19" s="37" customFormat="1" x14ac:dyDescent="0.25">
      <c r="A60" s="37" t="s">
        <v>88</v>
      </c>
      <c r="B60" s="38"/>
      <c r="C60" s="38"/>
      <c r="D60" s="84"/>
      <c r="E60" s="39">
        <f>('Min Rent 2015'!$C$15*0.5)/12</f>
        <v>912.375</v>
      </c>
      <c r="F60" s="39">
        <f>('Min Rent 2015'!$C$15*0.5)/12</f>
        <v>912.375</v>
      </c>
      <c r="G60" s="39">
        <f>('Min Rent 2015'!$C$15*0.5)/12</f>
        <v>912.375</v>
      </c>
      <c r="H60" s="39">
        <f>('Min Rent 2015'!$C$15*0.5)/12</f>
        <v>912.375</v>
      </c>
      <c r="I60" s="39">
        <f>('Min Rent 2015'!$C$15*0.5)/12</f>
        <v>912.375</v>
      </c>
      <c r="J60" s="39">
        <f>('Min Rent 2015'!$C$15*0.5)/12</f>
        <v>912.375</v>
      </c>
      <c r="K60" s="39">
        <f>('Min Rent 2015'!$C$15*0.5)/12</f>
        <v>912.375</v>
      </c>
      <c r="L60" s="39">
        <f>('Min Rent 2015'!$C$15*0.5)/12</f>
        <v>912.375</v>
      </c>
      <c r="M60" s="39">
        <f>('Min Rent 2015'!$C$15*0.5)/12</f>
        <v>912.375</v>
      </c>
      <c r="N60" s="39">
        <f>('Min Rent 2015'!$C$15*0.5)/12</f>
        <v>912.375</v>
      </c>
      <c r="O60" s="39">
        <f>('Min Rent 2015'!$C$15*0.5)/12</f>
        <v>912.375</v>
      </c>
      <c r="P60" s="39">
        <f>('Min Rent 2015'!$C$15*0.5)/12</f>
        <v>912.375</v>
      </c>
      <c r="Q60" s="76">
        <f>SUM(E60:P60)</f>
        <v>10948.5</v>
      </c>
      <c r="R60" s="46"/>
      <c r="S60" s="39"/>
    </row>
    <row r="62" spans="1:19" s="33" customFormat="1" x14ac:dyDescent="0.25">
      <c r="A62" s="33" t="s">
        <v>89</v>
      </c>
      <c r="B62" s="34"/>
      <c r="C62" s="34"/>
      <c r="D62" s="81"/>
      <c r="E62" s="36">
        <f>E10-E56-E60</f>
        <v>3783.3601999999992</v>
      </c>
      <c r="F62" s="36">
        <f t="shared" ref="F62:P62" si="11">F10-F56-F60</f>
        <v>28817.110199999999</v>
      </c>
      <c r="G62" s="36">
        <f t="shared" si="11"/>
        <v>26614.110199999999</v>
      </c>
      <c r="H62" s="36">
        <f t="shared" si="11"/>
        <v>2466.3601999999992</v>
      </c>
      <c r="I62" s="36">
        <f t="shared" si="11"/>
        <v>24731.397296774201</v>
      </c>
      <c r="J62" s="36">
        <f t="shared" si="11"/>
        <v>30639.460200000001</v>
      </c>
      <c r="K62" s="36">
        <f t="shared" si="11"/>
        <v>10611.210200000001</v>
      </c>
      <c r="L62" s="36">
        <f t="shared" si="11"/>
        <v>30313.960200000001</v>
      </c>
      <c r="M62" s="36">
        <f t="shared" si="11"/>
        <v>33315.3727</v>
      </c>
      <c r="N62" s="36">
        <f t="shared" si="11"/>
        <v>13515.035199999998</v>
      </c>
      <c r="O62" s="36">
        <f t="shared" si="11"/>
        <v>35012.610200000003</v>
      </c>
      <c r="P62" s="36">
        <f t="shared" si="11"/>
        <v>34012.610199999996</v>
      </c>
      <c r="Q62" s="75">
        <f>SUM(E62:P62)</f>
        <v>273832.5969967742</v>
      </c>
      <c r="R62" s="44"/>
      <c r="S62" s="36"/>
    </row>
    <row r="64" spans="1:19" s="37" customFormat="1" x14ac:dyDescent="0.25">
      <c r="A64" s="37" t="s">
        <v>90</v>
      </c>
      <c r="B64" s="94" t="s">
        <v>156</v>
      </c>
      <c r="C64" s="38" t="s">
        <v>126</v>
      </c>
      <c r="D64" s="84"/>
      <c r="E64" s="39">
        <v>0</v>
      </c>
      <c r="F64" s="39">
        <v>0</v>
      </c>
      <c r="G64" s="39">
        <v>0</v>
      </c>
      <c r="H64" s="39">
        <f>Assumptions!$I3</f>
        <v>5763.2800000000007</v>
      </c>
      <c r="I64" s="39">
        <f>Assumptions!$I4</f>
        <v>5782.49</v>
      </c>
      <c r="J64" s="39">
        <f>Assumptions!$I5</f>
        <v>5801.76</v>
      </c>
      <c r="K64" s="39">
        <f>Assumptions!$I6</f>
        <v>5821.1</v>
      </c>
      <c r="L64" s="39">
        <f>Assumptions!$I7</f>
        <v>5840.51</v>
      </c>
      <c r="M64" s="39">
        <f>Assumptions!$I8</f>
        <v>5859.9700000000012</v>
      </c>
      <c r="N64" s="39">
        <f>Assumptions!$I9</f>
        <v>5879.51</v>
      </c>
      <c r="O64" s="39">
        <f>Assumptions!$I10</f>
        <v>5899.1100000000006</v>
      </c>
      <c r="P64" s="39">
        <f>Assumptions!$I11</f>
        <v>5918.77</v>
      </c>
      <c r="Q64" s="76">
        <f>SUM(E64:P64)</f>
        <v>52566.5</v>
      </c>
      <c r="R64" s="46"/>
      <c r="S64" s="39"/>
    </row>
    <row r="65" spans="1:19" s="37" customFormat="1" x14ac:dyDescent="0.25">
      <c r="A65" s="37" t="s">
        <v>91</v>
      </c>
      <c r="B65" s="94" t="s">
        <v>156</v>
      </c>
      <c r="C65" s="38" t="s">
        <v>127</v>
      </c>
      <c r="D65" s="84"/>
      <c r="E65" s="39">
        <f>Assumptions!$B$11</f>
        <v>13333.333333333334</v>
      </c>
      <c r="F65" s="39">
        <f>Assumptions!$B$11</f>
        <v>13333.333333333334</v>
      </c>
      <c r="G65" s="39">
        <f>Assumptions!$B$11</f>
        <v>13333.333333333334</v>
      </c>
      <c r="H65" s="39">
        <f>Assumptions!$J3</f>
        <v>13333.33</v>
      </c>
      <c r="I65" s="39">
        <f>Assumptions!$J4</f>
        <v>13314.12</v>
      </c>
      <c r="J65" s="39">
        <f>Assumptions!$J5</f>
        <v>13294.85</v>
      </c>
      <c r="K65" s="39">
        <f>Assumptions!$J6</f>
        <v>13275.51</v>
      </c>
      <c r="L65" s="39">
        <f>Assumptions!$J7</f>
        <v>13256.1</v>
      </c>
      <c r="M65" s="39">
        <f>Assumptions!$J8</f>
        <v>13236.64</v>
      </c>
      <c r="N65" s="39">
        <f>Assumptions!$J9</f>
        <v>13217.1</v>
      </c>
      <c r="O65" s="39">
        <f>Assumptions!$J10</f>
        <v>13197.5</v>
      </c>
      <c r="P65" s="39">
        <f>Assumptions!$J11</f>
        <v>13177.84</v>
      </c>
      <c r="Q65" s="76">
        <f>SUM(E65:P65)</f>
        <v>159302.99</v>
      </c>
      <c r="R65" s="46"/>
      <c r="S65" s="39"/>
    </row>
    <row r="67" spans="1:19" s="33" customFormat="1" x14ac:dyDescent="0.25">
      <c r="A67" s="33" t="s">
        <v>92</v>
      </c>
      <c r="B67" s="34"/>
      <c r="C67" s="34"/>
      <c r="D67" s="81"/>
      <c r="E67" s="36">
        <f>E62-(E64+E65)</f>
        <v>-9549.9731333333348</v>
      </c>
      <c r="F67" s="36">
        <f t="shared" ref="F67:P67" si="12">F62-(F64+F65)</f>
        <v>15483.776866666665</v>
      </c>
      <c r="G67" s="36">
        <f t="shared" si="12"/>
        <v>13280.776866666665</v>
      </c>
      <c r="H67" s="36">
        <f t="shared" si="12"/>
        <v>-16630.249800000001</v>
      </c>
      <c r="I67" s="36">
        <f t="shared" si="12"/>
        <v>5634.7872967742005</v>
      </c>
      <c r="J67" s="36">
        <f t="shared" si="12"/>
        <v>11542.850200000001</v>
      </c>
      <c r="K67" s="36">
        <f t="shared" si="12"/>
        <v>-8485.3997999999992</v>
      </c>
      <c r="L67" s="36">
        <f t="shared" si="12"/>
        <v>11217.350200000001</v>
      </c>
      <c r="M67" s="36">
        <f t="shared" si="12"/>
        <v>14218.762699999999</v>
      </c>
      <c r="N67" s="36">
        <f t="shared" si="12"/>
        <v>-5581.5748000000021</v>
      </c>
      <c r="O67" s="36">
        <f t="shared" si="12"/>
        <v>15916.000200000002</v>
      </c>
      <c r="P67" s="36">
        <f t="shared" si="12"/>
        <v>14916.000199999995</v>
      </c>
      <c r="Q67" s="75">
        <f>SUM(E67:P67)</f>
        <v>61963.106996774186</v>
      </c>
      <c r="R67" s="44"/>
      <c r="S67" s="36"/>
    </row>
    <row r="69" spans="1:19" s="37" customFormat="1" x14ac:dyDescent="0.25">
      <c r="A69" s="165" t="s">
        <v>285</v>
      </c>
      <c r="B69" s="38"/>
      <c r="C69" s="38"/>
      <c r="D69" s="84"/>
      <c r="E69" s="39">
        <f>'Broker''s Comm'!K14</f>
        <v>9137</v>
      </c>
      <c r="F69" s="39">
        <f>'Broker''s Comm'!L14</f>
        <v>0</v>
      </c>
      <c r="G69" s="39">
        <f>'Broker''s Comm'!M14</f>
        <v>0</v>
      </c>
      <c r="H69" s="39">
        <f>'Broker''s Comm'!N14</f>
        <v>15419</v>
      </c>
      <c r="I69" s="39">
        <f>'Broker''s Comm'!O14</f>
        <v>4204.8355000000001</v>
      </c>
      <c r="J69" s="39">
        <f>'Broker''s Comm'!P14</f>
        <v>1773.9150025162505</v>
      </c>
      <c r="K69" s="39">
        <f>'Broker''s Comm'!Q14</f>
        <v>15419</v>
      </c>
      <c r="L69" s="39">
        <f>'Broker''s Comm'!R14</f>
        <v>0</v>
      </c>
      <c r="M69" s="39">
        <f>'Broker''s Comm'!S14</f>
        <v>0</v>
      </c>
      <c r="N69" s="39">
        <f>'Broker''s Comm'!T14</f>
        <v>1773.9150025162505</v>
      </c>
      <c r="O69" s="39">
        <f>'Broker''s Comm'!U14</f>
        <v>4204.8355000000001</v>
      </c>
      <c r="P69" s="39">
        <f>'Broker''s Comm'!V14</f>
        <v>3547.830005032501</v>
      </c>
      <c r="Q69" s="76">
        <f>SUM(E69:P69)</f>
        <v>55480.331010065005</v>
      </c>
      <c r="R69" s="46"/>
      <c r="S69" s="39"/>
    </row>
    <row r="71" spans="1:19" s="37" customFormat="1" x14ac:dyDescent="0.25">
      <c r="A71" s="165" t="s">
        <v>288</v>
      </c>
      <c r="B71" s="150" t="s">
        <v>156</v>
      </c>
      <c r="C71" s="166" t="s">
        <v>287</v>
      </c>
      <c r="D71" s="84"/>
      <c r="E71" s="39">
        <v>0</v>
      </c>
      <c r="F71" s="39">
        <v>0</v>
      </c>
      <c r="G71" s="39">
        <v>0</v>
      </c>
      <c r="H71" s="39">
        <v>48000</v>
      </c>
      <c r="I71" s="39">
        <f>Assumptions!P10+Assumptions!P19+Assumptions!P28</f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76">
        <f>SUM(E71:P71)</f>
        <v>48000</v>
      </c>
      <c r="R71" s="46"/>
      <c r="S71" s="39"/>
    </row>
    <row r="73" spans="1:19" s="37" customFormat="1" x14ac:dyDescent="0.25">
      <c r="A73" s="149" t="s">
        <v>267</v>
      </c>
      <c r="B73" s="150" t="s">
        <v>156</v>
      </c>
      <c r="C73" s="150" t="s">
        <v>268</v>
      </c>
      <c r="D73" s="84"/>
      <c r="E73" s="39">
        <v>0</v>
      </c>
      <c r="F73" s="39">
        <v>0</v>
      </c>
      <c r="G73" s="39">
        <v>0</v>
      </c>
      <c r="H73" s="39">
        <f>Assumptions!P11+Assumptions!P20+Assumptions!P29+Assumptions!P34</f>
        <v>74029</v>
      </c>
      <c r="I73" s="39">
        <f>Assumptions!P12+Assumptions!P21+Assumptions!P30</f>
        <v>39029</v>
      </c>
      <c r="J73" s="39">
        <f>Assumptions!P31</f>
        <v>10681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76">
        <f>SUM(E73:P73)</f>
        <v>123739</v>
      </c>
      <c r="R73" s="46"/>
      <c r="S73" s="39"/>
    </row>
    <row r="75" spans="1:19" s="37" customFormat="1" x14ac:dyDescent="0.25">
      <c r="A75" s="37" t="s">
        <v>93</v>
      </c>
      <c r="B75" s="38"/>
      <c r="C75" s="38"/>
      <c r="D75" s="84"/>
      <c r="E75" s="39">
        <f>Assumptions!$B$5/12</f>
        <v>0</v>
      </c>
      <c r="F75" s="39">
        <f>Assumptions!$B$5/12</f>
        <v>0</v>
      </c>
      <c r="G75" s="39">
        <f>Assumptions!$B$5/12</f>
        <v>0</v>
      </c>
      <c r="H75" s="39">
        <f>Assumptions!$B$5/12</f>
        <v>0</v>
      </c>
      <c r="I75" s="39">
        <f>Assumptions!$B$5/12</f>
        <v>0</v>
      </c>
      <c r="J75" s="39">
        <f>Assumptions!$B$5/12</f>
        <v>0</v>
      </c>
      <c r="K75" s="39">
        <f>Assumptions!$B$5/12</f>
        <v>0</v>
      </c>
      <c r="L75" s="39">
        <f>Assumptions!$B$5/12</f>
        <v>0</v>
      </c>
      <c r="M75" s="39">
        <f>Assumptions!$B$5/12</f>
        <v>0</v>
      </c>
      <c r="N75" s="39">
        <f>Assumptions!$B$5/12</f>
        <v>0</v>
      </c>
      <c r="O75" s="39">
        <f>Assumptions!$B$5/12</f>
        <v>0</v>
      </c>
      <c r="P75" s="39">
        <f>Assumptions!$B$5/12</f>
        <v>0</v>
      </c>
      <c r="Q75" s="76">
        <f>SUM(E75:P75)</f>
        <v>0</v>
      </c>
      <c r="R75" s="46"/>
      <c r="S75" s="39"/>
    </row>
    <row r="76" spans="1:19" s="33" customFormat="1" x14ac:dyDescent="0.25">
      <c r="A76" s="33" t="s">
        <v>94</v>
      </c>
      <c r="B76" s="34"/>
      <c r="C76" s="34"/>
      <c r="D76" s="81"/>
      <c r="E76" s="36">
        <f>E67-(E75+E69+E71+E73)</f>
        <v>-18686.973133333333</v>
      </c>
      <c r="F76" s="36">
        <f t="shared" ref="F76:P76" si="13">F67-(F75+F69+F71+F73)</f>
        <v>15483.776866666665</v>
      </c>
      <c r="G76" s="36">
        <f t="shared" si="13"/>
        <v>13280.776866666665</v>
      </c>
      <c r="H76" s="36">
        <f t="shared" si="13"/>
        <v>-154078.24979999999</v>
      </c>
      <c r="I76" s="36">
        <f t="shared" si="13"/>
        <v>-37599.048203225801</v>
      </c>
      <c r="J76" s="36">
        <f t="shared" si="13"/>
        <v>-912.06480251624998</v>
      </c>
      <c r="K76" s="36">
        <f t="shared" si="13"/>
        <v>-23904.399799999999</v>
      </c>
      <c r="L76" s="36">
        <f t="shared" si="13"/>
        <v>11217.350200000001</v>
      </c>
      <c r="M76" s="36">
        <f t="shared" si="13"/>
        <v>14218.762699999999</v>
      </c>
      <c r="N76" s="36">
        <f t="shared" si="13"/>
        <v>-7355.4898025162529</v>
      </c>
      <c r="O76" s="36">
        <f t="shared" si="13"/>
        <v>11711.164700000001</v>
      </c>
      <c r="P76" s="36">
        <f t="shared" si="13"/>
        <v>11368.170194967493</v>
      </c>
      <c r="Q76" s="75">
        <f>SUM(E76:P76)</f>
        <v>-165256.2240132908</v>
      </c>
      <c r="R76" s="44"/>
      <c r="S76" s="36"/>
    </row>
    <row r="78" spans="1:19" s="37" customFormat="1" x14ac:dyDescent="0.25">
      <c r="A78" s="37" t="s">
        <v>95</v>
      </c>
      <c r="B78" s="38"/>
      <c r="C78" s="38"/>
      <c r="D78" s="84">
        <v>6972.42</v>
      </c>
      <c r="E78" s="39">
        <f>$D78</f>
        <v>6972.42</v>
      </c>
      <c r="F78" s="39">
        <f t="shared" ref="F78:P78" si="14">$D78</f>
        <v>6972.42</v>
      </c>
      <c r="G78" s="39">
        <f t="shared" si="14"/>
        <v>6972.42</v>
      </c>
      <c r="H78" s="39">
        <f t="shared" si="14"/>
        <v>6972.42</v>
      </c>
      <c r="I78" s="39">
        <f t="shared" si="14"/>
        <v>6972.42</v>
      </c>
      <c r="J78" s="39">
        <f t="shared" si="14"/>
        <v>6972.42</v>
      </c>
      <c r="K78" s="39">
        <f t="shared" si="14"/>
        <v>6972.42</v>
      </c>
      <c r="L78" s="39">
        <f t="shared" si="14"/>
        <v>6972.42</v>
      </c>
      <c r="M78" s="39">
        <f t="shared" si="14"/>
        <v>6972.42</v>
      </c>
      <c r="N78" s="39">
        <f t="shared" si="14"/>
        <v>6972.42</v>
      </c>
      <c r="O78" s="39">
        <f t="shared" si="14"/>
        <v>6972.42</v>
      </c>
      <c r="P78" s="39">
        <f t="shared" si="14"/>
        <v>6972.42</v>
      </c>
      <c r="Q78" s="76">
        <f>SUM(E78:P78)</f>
        <v>83669.039999999994</v>
      </c>
      <c r="R78" s="46"/>
      <c r="S78" s="39"/>
    </row>
    <row r="80" spans="1:19" s="33" customFormat="1" x14ac:dyDescent="0.25">
      <c r="A80" s="33" t="s">
        <v>96</v>
      </c>
      <c r="B80" s="34"/>
      <c r="C80" s="34"/>
      <c r="D80" s="81"/>
      <c r="E80" s="36">
        <f>'Op Budget 2015'!P73</f>
        <v>84180.56</v>
      </c>
      <c r="F80" s="36">
        <f>E81</f>
        <v>89347.83</v>
      </c>
      <c r="G80" s="36">
        <f t="shared" ref="G80:P80" si="15">F81</f>
        <v>97998.720000000001</v>
      </c>
      <c r="H80" s="36">
        <f t="shared" si="15"/>
        <v>404307.07686666673</v>
      </c>
      <c r="I80" s="36">
        <f t="shared" si="15"/>
        <v>265420.15706666675</v>
      </c>
      <c r="J80" s="36">
        <f t="shared" si="15"/>
        <v>220848.68886344094</v>
      </c>
      <c r="K80" s="36">
        <f t="shared" si="15"/>
        <v>212964.20406092468</v>
      </c>
      <c r="L80" s="36">
        <f t="shared" si="15"/>
        <v>204251.13426092468</v>
      </c>
      <c r="M80" s="36">
        <f t="shared" si="15"/>
        <v>208496.06446092468</v>
      </c>
      <c r="N80" s="36">
        <f t="shared" si="15"/>
        <v>215742.40716092466</v>
      </c>
      <c r="O80" s="36">
        <f t="shared" si="15"/>
        <v>223578.24735840841</v>
      </c>
      <c r="P80" s="36">
        <f t="shared" si="15"/>
        <v>228316.99205840839</v>
      </c>
      <c r="Q80" s="75"/>
      <c r="R80" s="44"/>
      <c r="S80" s="36"/>
    </row>
    <row r="81" spans="1:19" s="33" customFormat="1" x14ac:dyDescent="0.25">
      <c r="A81" s="33" t="s">
        <v>97</v>
      </c>
      <c r="B81" s="34"/>
      <c r="C81" s="34"/>
      <c r="D81" s="81"/>
      <c r="E81" s="36">
        <v>89347.83</v>
      </c>
      <c r="F81" s="36">
        <v>97998.720000000001</v>
      </c>
      <c r="G81" s="36">
        <f>G12+G76+G80+G34-G78</f>
        <v>404307.07686666673</v>
      </c>
      <c r="H81" s="36">
        <f t="shared" ref="H81:P81" si="16">H76+H80+H34-H78</f>
        <v>265420.15706666675</v>
      </c>
      <c r="I81" s="36">
        <f t="shared" si="16"/>
        <v>220848.68886344094</v>
      </c>
      <c r="J81" s="36">
        <f t="shared" si="16"/>
        <v>212964.20406092468</v>
      </c>
      <c r="K81" s="36">
        <f t="shared" si="16"/>
        <v>204251.13426092468</v>
      </c>
      <c r="L81" s="36">
        <f t="shared" si="16"/>
        <v>208496.06446092468</v>
      </c>
      <c r="M81" s="36">
        <f t="shared" si="16"/>
        <v>215742.40716092466</v>
      </c>
      <c r="N81" s="36">
        <f t="shared" si="16"/>
        <v>223578.24735840841</v>
      </c>
      <c r="O81" s="36">
        <f t="shared" si="16"/>
        <v>228316.99205840839</v>
      </c>
      <c r="P81" s="36">
        <f t="shared" si="16"/>
        <v>232712.74225337588</v>
      </c>
      <c r="Q81" s="75"/>
      <c r="R81" s="44"/>
      <c r="S81" s="36"/>
    </row>
    <row r="83" spans="1:19" ht="15.75" x14ac:dyDescent="0.25">
      <c r="E83" s="172" t="s">
        <v>294</v>
      </c>
      <c r="O83" s="171" t="s">
        <v>293</v>
      </c>
      <c r="P83" s="9">
        <v>90000</v>
      </c>
    </row>
    <row r="84" spans="1:19" x14ac:dyDescent="0.25">
      <c r="P84" s="170"/>
    </row>
    <row r="85" spans="1:19" x14ac:dyDescent="0.25">
      <c r="O85" s="171" t="s">
        <v>292</v>
      </c>
      <c r="P85" s="9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4" sqref="P34"/>
    </sheetView>
  </sheetViews>
  <sheetFormatPr defaultRowHeight="15" x14ac:dyDescent="0.25"/>
  <cols>
    <col min="1" max="1" width="28.33203125" style="51" customWidth="1"/>
    <col min="2" max="2" width="12.109375" style="51" bestFit="1" customWidth="1"/>
    <col min="3" max="3" width="4.44140625" style="51" customWidth="1"/>
    <col min="4" max="4" width="4.21875" style="51" customWidth="1"/>
    <col min="5" max="5" width="4.88671875" style="12" customWidth="1"/>
    <col min="6" max="6" width="8.33203125" style="52" customWidth="1"/>
    <col min="7" max="7" width="14.88671875" style="51" customWidth="1"/>
    <col min="8" max="8" width="10.6640625" style="14" customWidth="1"/>
    <col min="9" max="9" width="9.6640625" style="14" customWidth="1"/>
    <col min="10" max="10" width="10.6640625" style="14" customWidth="1"/>
    <col min="11" max="11" width="12.33203125" style="51" customWidth="1"/>
    <col min="12" max="12" width="12.109375" style="51" customWidth="1"/>
    <col min="13" max="13" width="11.109375" style="51" bestFit="1" customWidth="1"/>
    <col min="14" max="14" width="8.88671875" style="51"/>
    <col min="15" max="15" width="15.21875" style="51" bestFit="1" customWidth="1"/>
    <col min="16" max="16" width="11.6640625" style="51" customWidth="1"/>
    <col min="17" max="16384" width="8.88671875" style="51"/>
  </cols>
  <sheetData>
    <row r="2" spans="1:16" ht="30" x14ac:dyDescent="0.25">
      <c r="E2" s="53"/>
      <c r="F2" s="85" t="s">
        <v>108</v>
      </c>
      <c r="G2" s="53" t="s">
        <v>109</v>
      </c>
      <c r="H2" s="86" t="s">
        <v>110</v>
      </c>
      <c r="I2" s="86" t="s">
        <v>111</v>
      </c>
      <c r="J2" s="86" t="s">
        <v>112</v>
      </c>
      <c r="K2" s="53" t="s">
        <v>113</v>
      </c>
      <c r="L2" s="53" t="s">
        <v>114</v>
      </c>
      <c r="M2" s="53" t="s">
        <v>115</v>
      </c>
    </row>
    <row r="3" spans="1:16" x14ac:dyDescent="0.25">
      <c r="A3" s="51" t="s">
        <v>116</v>
      </c>
      <c r="B3" s="48">
        <v>1.49E-2</v>
      </c>
      <c r="E3" s="12">
        <v>1</v>
      </c>
      <c r="F3" s="52">
        <v>42470</v>
      </c>
      <c r="G3" s="13">
        <f>$B$14</f>
        <v>4000000</v>
      </c>
      <c r="H3" s="14">
        <f t="shared" ref="H3:H38" si="0">$B$17</f>
        <v>19096.61</v>
      </c>
      <c r="I3" s="14">
        <f>$H3-$J3</f>
        <v>5763.2800000000007</v>
      </c>
      <c r="J3" s="14">
        <f t="shared" ref="J3:J38" si="1">ROUND($G3*($B$15/12), 2)</f>
        <v>13333.33</v>
      </c>
      <c r="K3" s="14">
        <f>I3</f>
        <v>5763.2800000000007</v>
      </c>
      <c r="L3" s="14">
        <f>J3</f>
        <v>13333.33</v>
      </c>
      <c r="M3" s="13">
        <f>$G3-$I3</f>
        <v>3994236.72</v>
      </c>
    </row>
    <row r="4" spans="1:16" x14ac:dyDescent="0.25">
      <c r="A4" s="51" t="s">
        <v>151</v>
      </c>
      <c r="B4" s="48">
        <v>0.03</v>
      </c>
      <c r="E4" s="12">
        <v>2</v>
      </c>
      <c r="F4" s="52">
        <v>42500</v>
      </c>
      <c r="G4" s="13">
        <f>$M3</f>
        <v>3994236.72</v>
      </c>
      <c r="H4" s="14">
        <f t="shared" si="0"/>
        <v>19096.61</v>
      </c>
      <c r="I4" s="14">
        <f t="shared" ref="I4:I57" si="2">$H4-$J4</f>
        <v>5782.49</v>
      </c>
      <c r="J4" s="14">
        <f t="shared" si="1"/>
        <v>13314.12</v>
      </c>
      <c r="K4" s="13">
        <f>$I4+$K3</f>
        <v>11545.77</v>
      </c>
      <c r="L4" s="13">
        <f>$J4+$L3</f>
        <v>26647.45</v>
      </c>
      <c r="M4" s="13">
        <f t="shared" ref="M4:M57" si="3">$G4-$I4</f>
        <v>3988454.23</v>
      </c>
    </row>
    <row r="5" spans="1:16" x14ac:dyDescent="0.25">
      <c r="A5" s="51" t="s">
        <v>93</v>
      </c>
      <c r="B5" s="49">
        <v>0</v>
      </c>
      <c r="E5" s="12">
        <v>3</v>
      </c>
      <c r="F5" s="52">
        <v>42531</v>
      </c>
      <c r="G5" s="13">
        <f t="shared" ref="G5:G57" si="4">$M4</f>
        <v>3988454.23</v>
      </c>
      <c r="H5" s="14">
        <f t="shared" si="0"/>
        <v>19096.61</v>
      </c>
      <c r="I5" s="14">
        <f t="shared" si="2"/>
        <v>5801.76</v>
      </c>
      <c r="J5" s="14">
        <f t="shared" si="1"/>
        <v>13294.85</v>
      </c>
      <c r="K5" s="13">
        <f t="shared" ref="K5:K57" si="5">$I5+$K4</f>
        <v>17347.53</v>
      </c>
      <c r="L5" s="13">
        <f t="shared" ref="L5:L57" si="6">$J5+$L4</f>
        <v>39942.300000000003</v>
      </c>
      <c r="M5" s="13">
        <f t="shared" si="3"/>
        <v>3982652.47</v>
      </c>
      <c r="O5" s="151" t="s">
        <v>257</v>
      </c>
      <c r="P5" s="152"/>
    </row>
    <row r="6" spans="1:16" x14ac:dyDescent="0.25">
      <c r="E6" s="12">
        <v>4</v>
      </c>
      <c r="F6" s="52">
        <v>42561</v>
      </c>
      <c r="G6" s="13">
        <f t="shared" si="4"/>
        <v>3982652.47</v>
      </c>
      <c r="H6" s="14">
        <f t="shared" si="0"/>
        <v>19096.61</v>
      </c>
      <c r="I6" s="14">
        <f t="shared" si="2"/>
        <v>5821.1</v>
      </c>
      <c r="J6" s="14">
        <f t="shared" si="1"/>
        <v>13275.51</v>
      </c>
      <c r="K6" s="13">
        <f t="shared" si="5"/>
        <v>23168.629999999997</v>
      </c>
      <c r="L6" s="13">
        <f t="shared" si="6"/>
        <v>53217.810000000005</v>
      </c>
      <c r="M6" s="13">
        <f t="shared" si="3"/>
        <v>3976831.37</v>
      </c>
      <c r="O6" s="153" t="s">
        <v>258</v>
      </c>
      <c r="P6" s="154">
        <v>1320</v>
      </c>
    </row>
    <row r="7" spans="1:16" x14ac:dyDescent="0.25">
      <c r="E7" s="12">
        <v>5</v>
      </c>
      <c r="F7" s="52">
        <v>42592</v>
      </c>
      <c r="G7" s="13">
        <f t="shared" si="4"/>
        <v>3976831.37</v>
      </c>
      <c r="H7" s="14">
        <f t="shared" si="0"/>
        <v>19096.61</v>
      </c>
      <c r="I7" s="14">
        <f t="shared" si="2"/>
        <v>5840.51</v>
      </c>
      <c r="J7" s="14">
        <f t="shared" si="1"/>
        <v>13256.1</v>
      </c>
      <c r="K7" s="13">
        <f t="shared" si="5"/>
        <v>29009.14</v>
      </c>
      <c r="L7" s="13">
        <f t="shared" si="6"/>
        <v>66473.91</v>
      </c>
      <c r="M7" s="13">
        <f t="shared" si="3"/>
        <v>3970990.8600000003</v>
      </c>
      <c r="O7" s="153" t="s">
        <v>259</v>
      </c>
      <c r="P7" s="155" t="s">
        <v>260</v>
      </c>
    </row>
    <row r="8" spans="1:16" x14ac:dyDescent="0.25">
      <c r="A8" s="132" t="s">
        <v>117</v>
      </c>
      <c r="B8" s="133">
        <v>4000000</v>
      </c>
      <c r="E8" s="12">
        <v>6</v>
      </c>
      <c r="F8" s="52">
        <v>42623</v>
      </c>
      <c r="G8" s="13">
        <f t="shared" si="4"/>
        <v>3970990.8600000003</v>
      </c>
      <c r="H8" s="14">
        <f t="shared" si="0"/>
        <v>19096.61</v>
      </c>
      <c r="I8" s="14">
        <f t="shared" si="2"/>
        <v>5859.9700000000012</v>
      </c>
      <c r="J8" s="14">
        <f t="shared" si="1"/>
        <v>13236.64</v>
      </c>
      <c r="K8" s="13">
        <f t="shared" si="5"/>
        <v>34869.11</v>
      </c>
      <c r="L8" s="13">
        <f t="shared" si="6"/>
        <v>79710.55</v>
      </c>
      <c r="M8" s="13">
        <f t="shared" si="3"/>
        <v>3965130.89</v>
      </c>
      <c r="O8" s="153"/>
      <c r="P8" s="155"/>
    </row>
    <row r="9" spans="1:16" x14ac:dyDescent="0.25">
      <c r="A9" s="132" t="s">
        <v>118</v>
      </c>
      <c r="B9" s="134">
        <v>0.04</v>
      </c>
      <c r="E9" s="12">
        <v>7</v>
      </c>
      <c r="F9" s="52">
        <v>42653</v>
      </c>
      <c r="G9" s="13">
        <f t="shared" si="4"/>
        <v>3965130.89</v>
      </c>
      <c r="H9" s="14">
        <f t="shared" si="0"/>
        <v>19096.61</v>
      </c>
      <c r="I9" s="14">
        <f t="shared" si="2"/>
        <v>5879.51</v>
      </c>
      <c r="J9" s="14">
        <f t="shared" si="1"/>
        <v>13217.1</v>
      </c>
      <c r="K9" s="13">
        <f t="shared" si="5"/>
        <v>40748.620000000003</v>
      </c>
      <c r="L9" s="13">
        <f t="shared" si="6"/>
        <v>92927.650000000009</v>
      </c>
      <c r="M9" s="13">
        <f t="shared" si="3"/>
        <v>3959251.3800000004</v>
      </c>
      <c r="O9" s="153" t="s">
        <v>262</v>
      </c>
      <c r="P9" s="156">
        <f>SUM(P6:P8)</f>
        <v>1320</v>
      </c>
    </row>
    <row r="10" spans="1:16" x14ac:dyDescent="0.25">
      <c r="A10" s="132" t="s">
        <v>212</v>
      </c>
      <c r="B10" s="132">
        <v>12</v>
      </c>
      <c r="E10" s="12">
        <v>8</v>
      </c>
      <c r="F10" s="52">
        <v>42684</v>
      </c>
      <c r="G10" s="13">
        <f t="shared" si="4"/>
        <v>3959251.3800000004</v>
      </c>
      <c r="H10" s="14">
        <f t="shared" si="0"/>
        <v>19096.61</v>
      </c>
      <c r="I10" s="14">
        <f t="shared" si="2"/>
        <v>5899.1100000000006</v>
      </c>
      <c r="J10" s="14">
        <f t="shared" si="1"/>
        <v>13197.5</v>
      </c>
      <c r="K10" s="13">
        <f t="shared" si="5"/>
        <v>46647.73</v>
      </c>
      <c r="L10" s="13">
        <f t="shared" si="6"/>
        <v>106125.15000000001</v>
      </c>
      <c r="M10" s="13">
        <f t="shared" si="3"/>
        <v>3953352.2700000005</v>
      </c>
      <c r="O10" s="153"/>
      <c r="P10" s="155"/>
    </row>
    <row r="11" spans="1:16" x14ac:dyDescent="0.25">
      <c r="A11" s="132" t="s">
        <v>120</v>
      </c>
      <c r="B11" s="133">
        <f>((B9/B10)*B8)</f>
        <v>13333.333333333334</v>
      </c>
      <c r="E11" s="12">
        <v>9</v>
      </c>
      <c r="F11" s="52">
        <v>42714</v>
      </c>
      <c r="G11" s="13">
        <f t="shared" si="4"/>
        <v>3953352.2700000005</v>
      </c>
      <c r="H11" s="14">
        <f t="shared" si="0"/>
        <v>19096.61</v>
      </c>
      <c r="I11" s="14">
        <f t="shared" si="2"/>
        <v>5918.77</v>
      </c>
      <c r="J11" s="14">
        <f t="shared" si="1"/>
        <v>13177.84</v>
      </c>
      <c r="K11" s="13">
        <f t="shared" si="5"/>
        <v>52566.5</v>
      </c>
      <c r="L11" s="13">
        <f t="shared" si="6"/>
        <v>119302.99</v>
      </c>
      <c r="M11" s="13">
        <f t="shared" si="3"/>
        <v>3947433.5000000005</v>
      </c>
      <c r="O11" s="153" t="s">
        <v>261</v>
      </c>
      <c r="P11" s="156">
        <v>13855</v>
      </c>
    </row>
    <row r="12" spans="1:16" x14ac:dyDescent="0.25">
      <c r="E12" s="12">
        <v>10</v>
      </c>
      <c r="F12" s="52">
        <v>42745</v>
      </c>
      <c r="G12" s="13">
        <f t="shared" si="4"/>
        <v>3947433.5000000005</v>
      </c>
      <c r="H12" s="14">
        <f t="shared" si="0"/>
        <v>19096.61</v>
      </c>
      <c r="I12" s="14">
        <f t="shared" si="2"/>
        <v>5938.5</v>
      </c>
      <c r="J12" s="14">
        <f t="shared" si="1"/>
        <v>13158.11</v>
      </c>
      <c r="K12" s="13">
        <f t="shared" si="5"/>
        <v>58505</v>
      </c>
      <c r="L12" s="13">
        <f t="shared" si="6"/>
        <v>132461.1</v>
      </c>
      <c r="M12" s="13">
        <f t="shared" si="3"/>
        <v>3941495.0000000005</v>
      </c>
      <c r="O12" s="157" t="s">
        <v>265</v>
      </c>
      <c r="P12" s="158">
        <v>13855</v>
      </c>
    </row>
    <row r="13" spans="1:16" x14ac:dyDescent="0.25">
      <c r="E13" s="12">
        <v>11</v>
      </c>
      <c r="F13" s="52">
        <v>42776</v>
      </c>
      <c r="G13" s="13">
        <f t="shared" si="4"/>
        <v>3941495.0000000005</v>
      </c>
      <c r="H13" s="14">
        <f t="shared" si="0"/>
        <v>19096.61</v>
      </c>
      <c r="I13" s="14">
        <f t="shared" si="2"/>
        <v>5958.2900000000009</v>
      </c>
      <c r="J13" s="14">
        <f t="shared" si="1"/>
        <v>13138.32</v>
      </c>
      <c r="K13" s="13">
        <f t="shared" si="5"/>
        <v>64463.29</v>
      </c>
      <c r="L13" s="13">
        <f t="shared" si="6"/>
        <v>145599.42000000001</v>
      </c>
      <c r="M13" s="13">
        <f t="shared" si="3"/>
        <v>3935536.7100000004</v>
      </c>
      <c r="P13" s="14"/>
    </row>
    <row r="14" spans="1:16" s="53" customFormat="1" x14ac:dyDescent="0.25">
      <c r="A14" s="52" t="s">
        <v>117</v>
      </c>
      <c r="B14" s="49">
        <v>4000000</v>
      </c>
      <c r="E14" s="12">
        <v>12</v>
      </c>
      <c r="F14" s="52">
        <v>42804</v>
      </c>
      <c r="G14" s="13">
        <f t="shared" si="4"/>
        <v>3935536.7100000004</v>
      </c>
      <c r="H14" s="14">
        <f t="shared" si="0"/>
        <v>19096.61</v>
      </c>
      <c r="I14" s="14">
        <f t="shared" si="2"/>
        <v>5978.1500000000015</v>
      </c>
      <c r="J14" s="14">
        <f t="shared" si="1"/>
        <v>13118.46</v>
      </c>
      <c r="K14" s="13">
        <f t="shared" si="5"/>
        <v>70441.440000000002</v>
      </c>
      <c r="L14" s="13">
        <f t="shared" si="6"/>
        <v>158717.88</v>
      </c>
      <c r="M14" s="13">
        <f t="shared" si="3"/>
        <v>3929558.5600000005</v>
      </c>
      <c r="O14" s="159" t="s">
        <v>263</v>
      </c>
      <c r="P14" s="160"/>
    </row>
    <row r="15" spans="1:16" x14ac:dyDescent="0.25">
      <c r="A15" s="52" t="s">
        <v>118</v>
      </c>
      <c r="B15" s="48">
        <v>0.04</v>
      </c>
      <c r="E15" s="12">
        <v>13</v>
      </c>
      <c r="F15" s="52">
        <v>42835</v>
      </c>
      <c r="G15" s="13">
        <f t="shared" si="4"/>
        <v>3929558.5600000005</v>
      </c>
      <c r="H15" s="14">
        <f t="shared" si="0"/>
        <v>19096.61</v>
      </c>
      <c r="I15" s="14">
        <f t="shared" si="2"/>
        <v>5998.08</v>
      </c>
      <c r="J15" s="14">
        <f t="shared" si="1"/>
        <v>13098.53</v>
      </c>
      <c r="K15" s="13">
        <f t="shared" si="5"/>
        <v>76439.520000000004</v>
      </c>
      <c r="L15" s="13">
        <f t="shared" si="6"/>
        <v>171816.41</v>
      </c>
      <c r="M15" s="13">
        <f t="shared" si="3"/>
        <v>3923560.4800000004</v>
      </c>
      <c r="O15" s="153" t="s">
        <v>258</v>
      </c>
      <c r="P15" s="161">
        <v>1215</v>
      </c>
    </row>
    <row r="16" spans="1:16" x14ac:dyDescent="0.25">
      <c r="A16" s="52" t="s">
        <v>119</v>
      </c>
      <c r="B16" s="47">
        <v>360</v>
      </c>
      <c r="E16" s="12">
        <v>14</v>
      </c>
      <c r="F16" s="52">
        <v>42865</v>
      </c>
      <c r="G16" s="13">
        <f t="shared" si="4"/>
        <v>3923560.4800000004</v>
      </c>
      <c r="H16" s="14">
        <f t="shared" si="0"/>
        <v>19096.61</v>
      </c>
      <c r="I16" s="14">
        <f t="shared" si="2"/>
        <v>6018.08</v>
      </c>
      <c r="J16" s="14">
        <f t="shared" si="1"/>
        <v>13078.53</v>
      </c>
      <c r="K16" s="13">
        <f t="shared" si="5"/>
        <v>82457.600000000006</v>
      </c>
      <c r="L16" s="13">
        <f t="shared" si="6"/>
        <v>184894.94</v>
      </c>
      <c r="M16" s="13">
        <f t="shared" si="3"/>
        <v>3917542.4000000004</v>
      </c>
      <c r="O16" s="153" t="s">
        <v>259</v>
      </c>
      <c r="P16" s="156">
        <v>28986</v>
      </c>
    </row>
    <row r="17" spans="1:16" x14ac:dyDescent="0.25">
      <c r="A17" s="52" t="s">
        <v>120</v>
      </c>
      <c r="B17" s="50">
        <f>ROUND(PMT($B$15/12,$B$16,-$B$14,0), 2)</f>
        <v>19096.61</v>
      </c>
      <c r="E17" s="87">
        <v>15</v>
      </c>
      <c r="F17" s="52">
        <v>42896</v>
      </c>
      <c r="G17" s="89">
        <f t="shared" si="4"/>
        <v>3917542.4000000004</v>
      </c>
      <c r="H17" s="90">
        <f t="shared" si="0"/>
        <v>19096.61</v>
      </c>
      <c r="I17" s="90">
        <f t="shared" si="2"/>
        <v>6038.1400000000012</v>
      </c>
      <c r="J17" s="90">
        <f t="shared" si="1"/>
        <v>13058.47</v>
      </c>
      <c r="K17" s="89">
        <f t="shared" si="5"/>
        <v>88495.74</v>
      </c>
      <c r="L17" s="89">
        <f t="shared" si="6"/>
        <v>197953.41</v>
      </c>
      <c r="M17" s="89">
        <f t="shared" si="3"/>
        <v>3911504.2600000002</v>
      </c>
      <c r="O17" s="153"/>
      <c r="P17" s="155"/>
    </row>
    <row r="18" spans="1:16" x14ac:dyDescent="0.25">
      <c r="E18" s="12">
        <v>16</v>
      </c>
      <c r="F18" s="52">
        <v>42926</v>
      </c>
      <c r="G18" s="13">
        <f t="shared" si="4"/>
        <v>3911504.2600000002</v>
      </c>
      <c r="H18" s="14">
        <f t="shared" si="0"/>
        <v>19096.61</v>
      </c>
      <c r="I18" s="14">
        <f t="shared" si="2"/>
        <v>6058.26</v>
      </c>
      <c r="J18" s="14">
        <f t="shared" si="1"/>
        <v>13038.35</v>
      </c>
      <c r="K18" s="13">
        <f t="shared" si="5"/>
        <v>94554</v>
      </c>
      <c r="L18" s="13">
        <f t="shared" si="6"/>
        <v>210991.76</v>
      </c>
      <c r="M18" s="13">
        <f t="shared" si="3"/>
        <v>3905446.0000000005</v>
      </c>
      <c r="O18" s="153" t="s">
        <v>262</v>
      </c>
      <c r="P18" s="155"/>
    </row>
    <row r="19" spans="1:16" x14ac:dyDescent="0.25">
      <c r="A19" s="53"/>
      <c r="B19" s="53"/>
      <c r="E19" s="12">
        <v>17</v>
      </c>
      <c r="F19" s="52">
        <v>42957</v>
      </c>
      <c r="G19" s="13">
        <f t="shared" si="4"/>
        <v>3905446.0000000005</v>
      </c>
      <c r="H19" s="14">
        <f t="shared" si="0"/>
        <v>19096.61</v>
      </c>
      <c r="I19" s="14">
        <f t="shared" si="2"/>
        <v>6078.4600000000009</v>
      </c>
      <c r="J19" s="14">
        <f t="shared" si="1"/>
        <v>13018.15</v>
      </c>
      <c r="K19" s="13">
        <f t="shared" si="5"/>
        <v>100632.46</v>
      </c>
      <c r="L19" s="13">
        <f t="shared" si="6"/>
        <v>224009.91</v>
      </c>
      <c r="M19" s="13">
        <f t="shared" si="3"/>
        <v>3899367.5400000005</v>
      </c>
      <c r="O19" s="153"/>
      <c r="P19" s="155"/>
    </row>
    <row r="20" spans="1:16" x14ac:dyDescent="0.25">
      <c r="E20" s="12">
        <v>18</v>
      </c>
      <c r="F20" s="52">
        <v>42988</v>
      </c>
      <c r="G20" s="13">
        <f t="shared" si="4"/>
        <v>3899367.5400000005</v>
      </c>
      <c r="H20" s="14">
        <f t="shared" si="0"/>
        <v>19096.61</v>
      </c>
      <c r="I20" s="14">
        <f t="shared" si="2"/>
        <v>6098.7200000000012</v>
      </c>
      <c r="J20" s="14">
        <f t="shared" si="1"/>
        <v>12997.89</v>
      </c>
      <c r="K20" s="13">
        <f t="shared" si="5"/>
        <v>106731.18000000001</v>
      </c>
      <c r="L20" s="13">
        <f t="shared" si="6"/>
        <v>237007.8</v>
      </c>
      <c r="M20" s="13">
        <f t="shared" si="3"/>
        <v>3893268.8200000003</v>
      </c>
      <c r="O20" s="153" t="s">
        <v>261</v>
      </c>
      <c r="P20" s="162">
        <f>P$16/2</f>
        <v>14493</v>
      </c>
    </row>
    <row r="21" spans="1:16" x14ac:dyDescent="0.25">
      <c r="E21" s="12">
        <v>19</v>
      </c>
      <c r="F21" s="52">
        <v>43018</v>
      </c>
      <c r="G21" s="13">
        <f t="shared" si="4"/>
        <v>3893268.8200000003</v>
      </c>
      <c r="H21" s="14">
        <f t="shared" si="0"/>
        <v>19096.61</v>
      </c>
      <c r="I21" s="14">
        <f t="shared" si="2"/>
        <v>6119.0500000000011</v>
      </c>
      <c r="J21" s="14">
        <f t="shared" si="1"/>
        <v>12977.56</v>
      </c>
      <c r="K21" s="13">
        <f t="shared" si="5"/>
        <v>112850.23000000001</v>
      </c>
      <c r="L21" s="13">
        <f t="shared" si="6"/>
        <v>249985.36</v>
      </c>
      <c r="M21" s="13">
        <f t="shared" si="3"/>
        <v>3887149.7700000005</v>
      </c>
      <c r="O21" s="157" t="s">
        <v>270</v>
      </c>
      <c r="P21" s="163">
        <f>P$16/2</f>
        <v>14493</v>
      </c>
    </row>
    <row r="22" spans="1:16" x14ac:dyDescent="0.25">
      <c r="E22" s="12">
        <v>20</v>
      </c>
      <c r="F22" s="52">
        <v>43049</v>
      </c>
      <c r="G22" s="13">
        <f t="shared" si="4"/>
        <v>3887149.7700000005</v>
      </c>
      <c r="H22" s="14">
        <f t="shared" si="0"/>
        <v>19096.61</v>
      </c>
      <c r="I22" s="14">
        <f t="shared" si="2"/>
        <v>6139.4400000000005</v>
      </c>
      <c r="J22" s="14">
        <f t="shared" si="1"/>
        <v>12957.17</v>
      </c>
      <c r="K22" s="13">
        <f t="shared" si="5"/>
        <v>118989.67000000001</v>
      </c>
      <c r="L22" s="13">
        <f t="shared" si="6"/>
        <v>262942.52999999997</v>
      </c>
      <c r="M22" s="13">
        <f t="shared" si="3"/>
        <v>3881010.3300000005</v>
      </c>
    </row>
    <row r="23" spans="1:16" x14ac:dyDescent="0.25">
      <c r="E23" s="12">
        <v>21</v>
      </c>
      <c r="F23" s="52">
        <v>43079</v>
      </c>
      <c r="G23" s="13">
        <f t="shared" si="4"/>
        <v>3881010.3300000005</v>
      </c>
      <c r="H23" s="14">
        <f t="shared" si="0"/>
        <v>19096.61</v>
      </c>
      <c r="I23" s="14">
        <f t="shared" si="2"/>
        <v>6159.91</v>
      </c>
      <c r="J23" s="14">
        <f t="shared" si="1"/>
        <v>12936.7</v>
      </c>
      <c r="K23" s="13">
        <f t="shared" si="5"/>
        <v>125149.58000000002</v>
      </c>
      <c r="L23" s="13">
        <f t="shared" si="6"/>
        <v>275879.23</v>
      </c>
      <c r="M23" s="13">
        <f t="shared" si="3"/>
        <v>3874850.4200000004</v>
      </c>
      <c r="O23" s="151" t="s">
        <v>264</v>
      </c>
      <c r="P23" s="152"/>
    </row>
    <row r="24" spans="1:16" x14ac:dyDescent="0.25">
      <c r="E24" s="12">
        <v>22</v>
      </c>
      <c r="F24" s="52">
        <v>43110</v>
      </c>
      <c r="G24" s="13">
        <f t="shared" si="4"/>
        <v>3874850.4200000004</v>
      </c>
      <c r="H24" s="14">
        <f t="shared" si="0"/>
        <v>19096.61</v>
      </c>
      <c r="I24" s="14">
        <f t="shared" si="2"/>
        <v>6180.4400000000005</v>
      </c>
      <c r="J24" s="14">
        <f t="shared" si="1"/>
        <v>12916.17</v>
      </c>
      <c r="K24" s="13">
        <f t="shared" si="5"/>
        <v>131330.02000000002</v>
      </c>
      <c r="L24" s="13">
        <f t="shared" si="6"/>
        <v>288795.39999999997</v>
      </c>
      <c r="M24" s="13">
        <f t="shared" si="3"/>
        <v>3868669.9800000004</v>
      </c>
      <c r="O24" s="153" t="s">
        <v>258</v>
      </c>
      <c r="P24" s="154">
        <v>1215</v>
      </c>
    </row>
    <row r="25" spans="1:16" x14ac:dyDescent="0.25">
      <c r="E25" s="12">
        <v>23</v>
      </c>
      <c r="F25" s="52">
        <v>43141</v>
      </c>
      <c r="G25" s="13">
        <f t="shared" si="4"/>
        <v>3868669.9800000004</v>
      </c>
      <c r="H25" s="14">
        <f t="shared" si="0"/>
        <v>19096.61</v>
      </c>
      <c r="I25" s="14">
        <f t="shared" si="2"/>
        <v>6201.0400000000009</v>
      </c>
      <c r="J25" s="14">
        <f t="shared" si="1"/>
        <v>12895.57</v>
      </c>
      <c r="K25" s="13">
        <f t="shared" si="5"/>
        <v>137531.06000000003</v>
      </c>
      <c r="L25" s="13">
        <f t="shared" si="6"/>
        <v>301690.96999999997</v>
      </c>
      <c r="M25" s="13">
        <f t="shared" si="3"/>
        <v>3862468.9400000004</v>
      </c>
      <c r="O25" s="153" t="s">
        <v>259</v>
      </c>
      <c r="P25" s="156">
        <v>32043</v>
      </c>
    </row>
    <row r="26" spans="1:16" x14ac:dyDescent="0.25">
      <c r="E26" s="12">
        <v>24</v>
      </c>
      <c r="F26" s="52">
        <v>43169</v>
      </c>
      <c r="G26" s="13">
        <f t="shared" si="4"/>
        <v>3862468.9400000004</v>
      </c>
      <c r="H26" s="14">
        <f t="shared" si="0"/>
        <v>19096.61</v>
      </c>
      <c r="I26" s="14">
        <f t="shared" si="2"/>
        <v>6221.7100000000009</v>
      </c>
      <c r="J26" s="14">
        <f t="shared" si="1"/>
        <v>12874.9</v>
      </c>
      <c r="K26" s="13">
        <f t="shared" si="5"/>
        <v>143752.77000000002</v>
      </c>
      <c r="L26" s="13">
        <f t="shared" si="6"/>
        <v>314565.87</v>
      </c>
      <c r="M26" s="13">
        <f t="shared" si="3"/>
        <v>3856247.2300000004</v>
      </c>
      <c r="O26" s="153"/>
      <c r="P26" s="155"/>
    </row>
    <row r="27" spans="1:16" x14ac:dyDescent="0.25">
      <c r="E27" s="12">
        <v>25</v>
      </c>
      <c r="F27" s="52">
        <v>43200</v>
      </c>
      <c r="G27" s="13">
        <f t="shared" si="4"/>
        <v>3856247.2300000004</v>
      </c>
      <c r="H27" s="14">
        <f t="shared" si="0"/>
        <v>19096.61</v>
      </c>
      <c r="I27" s="14">
        <f t="shared" si="2"/>
        <v>6242.4500000000007</v>
      </c>
      <c r="J27" s="14">
        <f t="shared" si="1"/>
        <v>12854.16</v>
      </c>
      <c r="K27" s="13">
        <f t="shared" si="5"/>
        <v>149995.22000000003</v>
      </c>
      <c r="L27" s="13">
        <f t="shared" si="6"/>
        <v>327420.02999999997</v>
      </c>
      <c r="M27" s="13">
        <f t="shared" si="3"/>
        <v>3850004.7800000003</v>
      </c>
      <c r="O27" s="153" t="s">
        <v>262</v>
      </c>
      <c r="P27" s="155"/>
    </row>
    <row r="28" spans="1:16" x14ac:dyDescent="0.25">
      <c r="E28" s="12">
        <v>26</v>
      </c>
      <c r="F28" s="52">
        <v>43230</v>
      </c>
      <c r="G28" s="13">
        <f t="shared" si="4"/>
        <v>3850004.7800000003</v>
      </c>
      <c r="H28" s="14">
        <f t="shared" si="0"/>
        <v>19096.61</v>
      </c>
      <c r="I28" s="14">
        <f t="shared" si="2"/>
        <v>6263.26</v>
      </c>
      <c r="J28" s="14">
        <f t="shared" si="1"/>
        <v>12833.35</v>
      </c>
      <c r="K28" s="13">
        <f t="shared" si="5"/>
        <v>156258.48000000004</v>
      </c>
      <c r="L28" s="13">
        <f t="shared" si="6"/>
        <v>340253.37999999995</v>
      </c>
      <c r="M28" s="13">
        <f t="shared" si="3"/>
        <v>3843741.5200000005</v>
      </c>
      <c r="O28" s="153"/>
      <c r="P28" s="155"/>
    </row>
    <row r="29" spans="1:16" x14ac:dyDescent="0.25">
      <c r="E29" s="12">
        <v>27</v>
      </c>
      <c r="F29" s="52">
        <v>43261</v>
      </c>
      <c r="G29" s="13">
        <f t="shared" si="4"/>
        <v>3843741.5200000005</v>
      </c>
      <c r="H29" s="14">
        <f t="shared" si="0"/>
        <v>19096.61</v>
      </c>
      <c r="I29" s="14">
        <f t="shared" si="2"/>
        <v>6284.1400000000012</v>
      </c>
      <c r="J29" s="14">
        <f t="shared" si="1"/>
        <v>12812.47</v>
      </c>
      <c r="K29" s="13">
        <f t="shared" si="5"/>
        <v>162542.62000000005</v>
      </c>
      <c r="L29" s="13">
        <f t="shared" si="6"/>
        <v>353065.84999999992</v>
      </c>
      <c r="M29" s="13">
        <f t="shared" si="3"/>
        <v>3837457.3800000004</v>
      </c>
      <c r="O29" s="153" t="s">
        <v>261</v>
      </c>
      <c r="P29" s="162">
        <f>P$25/3</f>
        <v>10681</v>
      </c>
    </row>
    <row r="30" spans="1:16" x14ac:dyDescent="0.25">
      <c r="E30" s="12">
        <v>28</v>
      </c>
      <c r="F30" s="52">
        <v>43291</v>
      </c>
      <c r="G30" s="13">
        <f t="shared" si="4"/>
        <v>3837457.3800000004</v>
      </c>
      <c r="H30" s="14">
        <f t="shared" si="0"/>
        <v>19096.61</v>
      </c>
      <c r="I30" s="14">
        <f t="shared" si="2"/>
        <v>6305.09</v>
      </c>
      <c r="J30" s="14">
        <f t="shared" si="1"/>
        <v>12791.52</v>
      </c>
      <c r="K30" s="13">
        <f t="shared" si="5"/>
        <v>168847.71000000005</v>
      </c>
      <c r="L30" s="13">
        <f t="shared" si="6"/>
        <v>365857.36999999994</v>
      </c>
      <c r="M30" s="13">
        <f t="shared" si="3"/>
        <v>3831152.2900000005</v>
      </c>
      <c r="O30" s="153" t="s">
        <v>265</v>
      </c>
      <c r="P30" s="162">
        <f t="shared" ref="P30:P31" si="7">P$25/3</f>
        <v>10681</v>
      </c>
    </row>
    <row r="31" spans="1:16" x14ac:dyDescent="0.25">
      <c r="E31" s="12">
        <v>29</v>
      </c>
      <c r="F31" s="52">
        <v>43322</v>
      </c>
      <c r="G31" s="13">
        <f t="shared" si="4"/>
        <v>3831152.2900000005</v>
      </c>
      <c r="H31" s="14">
        <f t="shared" si="0"/>
        <v>19096.61</v>
      </c>
      <c r="I31" s="14">
        <f t="shared" si="2"/>
        <v>6326.1</v>
      </c>
      <c r="J31" s="14">
        <f t="shared" si="1"/>
        <v>12770.51</v>
      </c>
      <c r="K31" s="13">
        <f t="shared" si="5"/>
        <v>175173.81000000006</v>
      </c>
      <c r="L31" s="13">
        <f t="shared" si="6"/>
        <v>378627.87999999995</v>
      </c>
      <c r="M31" s="13">
        <f t="shared" si="3"/>
        <v>3824826.1900000004</v>
      </c>
      <c r="O31" s="157" t="s">
        <v>266</v>
      </c>
      <c r="P31" s="163">
        <f t="shared" si="7"/>
        <v>10681</v>
      </c>
    </row>
    <row r="32" spans="1:16" x14ac:dyDescent="0.25">
      <c r="E32" s="12">
        <v>30</v>
      </c>
      <c r="F32" s="52">
        <v>43353</v>
      </c>
      <c r="G32" s="13">
        <f t="shared" si="4"/>
        <v>3824826.1900000004</v>
      </c>
      <c r="H32" s="14">
        <f t="shared" si="0"/>
        <v>19096.61</v>
      </c>
      <c r="I32" s="14">
        <f t="shared" si="2"/>
        <v>6347.1900000000005</v>
      </c>
      <c r="J32" s="14">
        <f t="shared" si="1"/>
        <v>12749.42</v>
      </c>
      <c r="K32" s="13">
        <f t="shared" si="5"/>
        <v>181521.00000000006</v>
      </c>
      <c r="L32" s="13">
        <f t="shared" si="6"/>
        <v>391377.29999999993</v>
      </c>
      <c r="M32" s="13">
        <f t="shared" si="3"/>
        <v>3818479.0000000005</v>
      </c>
    </row>
    <row r="33" spans="5:16" x14ac:dyDescent="0.25">
      <c r="E33" s="12">
        <v>31</v>
      </c>
      <c r="F33" s="52">
        <v>43383</v>
      </c>
      <c r="G33" s="13">
        <f t="shared" si="4"/>
        <v>3818479.0000000005</v>
      </c>
      <c r="H33" s="14">
        <f t="shared" si="0"/>
        <v>19096.61</v>
      </c>
      <c r="I33" s="14">
        <f t="shared" si="2"/>
        <v>6368.35</v>
      </c>
      <c r="J33" s="14">
        <f t="shared" si="1"/>
        <v>12728.26</v>
      </c>
      <c r="K33" s="13">
        <f t="shared" si="5"/>
        <v>187889.35000000006</v>
      </c>
      <c r="L33" s="13">
        <f t="shared" si="6"/>
        <v>404105.55999999994</v>
      </c>
      <c r="M33" s="13">
        <f t="shared" si="3"/>
        <v>3812110.6500000004</v>
      </c>
      <c r="O33" s="151" t="s">
        <v>158</v>
      </c>
      <c r="P33" s="152"/>
    </row>
    <row r="34" spans="5:16" x14ac:dyDescent="0.25">
      <c r="E34" s="12">
        <v>32</v>
      </c>
      <c r="F34" s="52">
        <v>43414</v>
      </c>
      <c r="G34" s="13">
        <f t="shared" si="4"/>
        <v>3812110.6500000004</v>
      </c>
      <c r="H34" s="14">
        <f t="shared" si="0"/>
        <v>19096.61</v>
      </c>
      <c r="I34" s="14">
        <f t="shared" si="2"/>
        <v>6389.57</v>
      </c>
      <c r="J34" s="14">
        <f t="shared" si="1"/>
        <v>12707.04</v>
      </c>
      <c r="K34" s="13">
        <f t="shared" si="5"/>
        <v>194278.92000000007</v>
      </c>
      <c r="L34" s="13">
        <f t="shared" si="6"/>
        <v>416812.59999999992</v>
      </c>
      <c r="M34" s="13">
        <f t="shared" si="3"/>
        <v>3805721.0800000005</v>
      </c>
      <c r="O34" s="157" t="s">
        <v>269</v>
      </c>
      <c r="P34" s="158">
        <v>35000</v>
      </c>
    </row>
    <row r="35" spans="5:16" x14ac:dyDescent="0.25">
      <c r="E35" s="12">
        <v>33</v>
      </c>
      <c r="F35" s="52">
        <v>43444</v>
      </c>
      <c r="G35" s="13">
        <f t="shared" si="4"/>
        <v>3805721.0800000005</v>
      </c>
      <c r="H35" s="14">
        <f t="shared" si="0"/>
        <v>19096.61</v>
      </c>
      <c r="I35" s="14">
        <f t="shared" si="2"/>
        <v>6410.8700000000008</v>
      </c>
      <c r="J35" s="14">
        <f t="shared" si="1"/>
        <v>12685.74</v>
      </c>
      <c r="K35" s="13">
        <f t="shared" si="5"/>
        <v>200689.79000000007</v>
      </c>
      <c r="L35" s="13">
        <f t="shared" si="6"/>
        <v>429498.33999999991</v>
      </c>
      <c r="M35" s="13">
        <f t="shared" si="3"/>
        <v>3799310.2100000004</v>
      </c>
    </row>
    <row r="36" spans="5:16" x14ac:dyDescent="0.25">
      <c r="E36" s="12">
        <v>34</v>
      </c>
      <c r="F36" s="52">
        <v>43475</v>
      </c>
      <c r="G36" s="13">
        <f t="shared" si="4"/>
        <v>3799310.2100000004</v>
      </c>
      <c r="H36" s="14">
        <f t="shared" si="0"/>
        <v>19096.61</v>
      </c>
      <c r="I36" s="14">
        <f t="shared" si="2"/>
        <v>6432.24</v>
      </c>
      <c r="J36" s="14">
        <f t="shared" si="1"/>
        <v>12664.37</v>
      </c>
      <c r="K36" s="13">
        <f t="shared" si="5"/>
        <v>207122.03000000006</v>
      </c>
      <c r="L36" s="13">
        <f t="shared" si="6"/>
        <v>442162.7099999999</v>
      </c>
      <c r="M36" s="13">
        <f t="shared" si="3"/>
        <v>3792877.97</v>
      </c>
    </row>
    <row r="37" spans="5:16" x14ac:dyDescent="0.25">
      <c r="E37" s="12">
        <v>35</v>
      </c>
      <c r="F37" s="52">
        <v>43506</v>
      </c>
      <c r="G37" s="13">
        <f t="shared" si="4"/>
        <v>3792877.97</v>
      </c>
      <c r="H37" s="14">
        <f t="shared" si="0"/>
        <v>19096.61</v>
      </c>
      <c r="I37" s="14">
        <f t="shared" si="2"/>
        <v>6453.68</v>
      </c>
      <c r="J37" s="14">
        <f t="shared" si="1"/>
        <v>12642.93</v>
      </c>
      <c r="K37" s="13">
        <f t="shared" si="5"/>
        <v>213575.71000000005</v>
      </c>
      <c r="L37" s="13">
        <f t="shared" si="6"/>
        <v>454805.6399999999</v>
      </c>
      <c r="M37" s="13">
        <f t="shared" si="3"/>
        <v>3786424.29</v>
      </c>
      <c r="P37" s="135"/>
    </row>
    <row r="38" spans="5:16" s="135" customFormat="1" x14ac:dyDescent="0.25">
      <c r="E38" s="87">
        <v>36</v>
      </c>
      <c r="F38" s="88">
        <v>43534</v>
      </c>
      <c r="G38" s="89">
        <f t="shared" si="4"/>
        <v>3786424.29</v>
      </c>
      <c r="H38" s="90">
        <f t="shared" si="0"/>
        <v>19096.61</v>
      </c>
      <c r="I38" s="90">
        <f t="shared" si="2"/>
        <v>6475.2000000000007</v>
      </c>
      <c r="J38" s="90">
        <f t="shared" si="1"/>
        <v>12621.41</v>
      </c>
      <c r="K38" s="89">
        <f t="shared" si="5"/>
        <v>220050.91000000006</v>
      </c>
      <c r="L38" s="89">
        <f t="shared" si="6"/>
        <v>467427.04999999987</v>
      </c>
      <c r="M38" s="89">
        <f t="shared" si="3"/>
        <v>3779949.09</v>
      </c>
      <c r="O38" s="51"/>
      <c r="P38" s="51"/>
    </row>
    <row r="39" spans="5:16" x14ac:dyDescent="0.25">
      <c r="E39" s="12">
        <v>37</v>
      </c>
      <c r="F39" s="52">
        <v>43565</v>
      </c>
      <c r="G39" s="89">
        <f t="shared" si="4"/>
        <v>3779949.09</v>
      </c>
      <c r="H39" s="90">
        <f t="shared" ref="H39:H57" si="8">$B$17</f>
        <v>19096.61</v>
      </c>
      <c r="I39" s="90">
        <f t="shared" si="2"/>
        <v>6496.7800000000007</v>
      </c>
      <c r="J39" s="90">
        <f t="shared" ref="J39:J57" si="9">ROUND($G39*($B$15/12), 2)</f>
        <v>12599.83</v>
      </c>
      <c r="K39" s="89">
        <f t="shared" si="5"/>
        <v>226547.69000000006</v>
      </c>
      <c r="L39" s="89">
        <f t="shared" si="6"/>
        <v>480026.87999999989</v>
      </c>
      <c r="M39" s="89">
        <f t="shared" si="3"/>
        <v>3773452.31</v>
      </c>
    </row>
    <row r="40" spans="5:16" x14ac:dyDescent="0.25">
      <c r="E40" s="12">
        <v>38</v>
      </c>
      <c r="F40" s="52">
        <v>43595</v>
      </c>
      <c r="G40" s="89">
        <f t="shared" si="4"/>
        <v>3773452.31</v>
      </c>
      <c r="H40" s="90">
        <f t="shared" si="8"/>
        <v>19096.61</v>
      </c>
      <c r="I40" s="90">
        <f t="shared" si="2"/>
        <v>6518.4400000000005</v>
      </c>
      <c r="J40" s="90">
        <f t="shared" si="9"/>
        <v>12578.17</v>
      </c>
      <c r="K40" s="89">
        <f t="shared" si="5"/>
        <v>233066.13000000006</v>
      </c>
      <c r="L40" s="89">
        <f t="shared" si="6"/>
        <v>492605.04999999987</v>
      </c>
      <c r="M40" s="89">
        <f t="shared" si="3"/>
        <v>3766933.87</v>
      </c>
      <c r="O40" s="135"/>
    </row>
    <row r="41" spans="5:16" x14ac:dyDescent="0.25">
      <c r="E41" s="12">
        <v>39</v>
      </c>
      <c r="F41" s="52">
        <v>43626</v>
      </c>
      <c r="G41" s="89">
        <f t="shared" si="4"/>
        <v>3766933.87</v>
      </c>
      <c r="H41" s="90">
        <f t="shared" si="8"/>
        <v>19096.61</v>
      </c>
      <c r="I41" s="90">
        <f t="shared" si="2"/>
        <v>6540.16</v>
      </c>
      <c r="J41" s="90">
        <f t="shared" si="9"/>
        <v>12556.45</v>
      </c>
      <c r="K41" s="89">
        <f t="shared" si="5"/>
        <v>239606.29000000007</v>
      </c>
      <c r="L41" s="89">
        <f t="shared" si="6"/>
        <v>505161.49999999988</v>
      </c>
      <c r="M41" s="89">
        <f t="shared" si="3"/>
        <v>3760393.71</v>
      </c>
    </row>
    <row r="42" spans="5:16" x14ac:dyDescent="0.25">
      <c r="E42" s="12">
        <v>40</v>
      </c>
      <c r="F42" s="52">
        <v>43656</v>
      </c>
      <c r="G42" s="89">
        <f t="shared" si="4"/>
        <v>3760393.71</v>
      </c>
      <c r="H42" s="90">
        <f t="shared" si="8"/>
        <v>19096.61</v>
      </c>
      <c r="I42" s="90">
        <f t="shared" si="2"/>
        <v>6561.9600000000009</v>
      </c>
      <c r="J42" s="90">
        <f t="shared" si="9"/>
        <v>12534.65</v>
      </c>
      <c r="K42" s="89">
        <f t="shared" si="5"/>
        <v>246168.25000000006</v>
      </c>
      <c r="L42" s="89">
        <f t="shared" si="6"/>
        <v>517696.14999999991</v>
      </c>
      <c r="M42" s="89">
        <f t="shared" si="3"/>
        <v>3753831.75</v>
      </c>
    </row>
    <row r="43" spans="5:16" x14ac:dyDescent="0.25">
      <c r="E43" s="12">
        <v>41</v>
      </c>
      <c r="F43" s="52">
        <v>43687</v>
      </c>
      <c r="G43" s="89">
        <f t="shared" si="4"/>
        <v>3753831.75</v>
      </c>
      <c r="H43" s="90">
        <f t="shared" si="8"/>
        <v>19096.61</v>
      </c>
      <c r="I43" s="90">
        <f t="shared" si="2"/>
        <v>6583.84</v>
      </c>
      <c r="J43" s="90">
        <f t="shared" si="9"/>
        <v>12512.77</v>
      </c>
      <c r="K43" s="89">
        <f t="shared" si="5"/>
        <v>252752.09000000005</v>
      </c>
      <c r="L43" s="89">
        <f t="shared" si="6"/>
        <v>530208.91999999993</v>
      </c>
      <c r="M43" s="89">
        <f t="shared" si="3"/>
        <v>3747247.91</v>
      </c>
    </row>
    <row r="44" spans="5:16" x14ac:dyDescent="0.25">
      <c r="E44" s="12">
        <v>42</v>
      </c>
      <c r="F44" s="52">
        <v>43718</v>
      </c>
      <c r="G44" s="89">
        <f t="shared" si="4"/>
        <v>3747247.91</v>
      </c>
      <c r="H44" s="90">
        <f t="shared" si="8"/>
        <v>19096.61</v>
      </c>
      <c r="I44" s="90">
        <f t="shared" si="2"/>
        <v>6605.7800000000007</v>
      </c>
      <c r="J44" s="90">
        <f t="shared" si="9"/>
        <v>12490.83</v>
      </c>
      <c r="K44" s="89">
        <f t="shared" si="5"/>
        <v>259357.87000000005</v>
      </c>
      <c r="L44" s="89">
        <f t="shared" si="6"/>
        <v>542699.74999999988</v>
      </c>
      <c r="M44" s="89">
        <f t="shared" si="3"/>
        <v>3740642.1300000004</v>
      </c>
    </row>
    <row r="45" spans="5:16" x14ac:dyDescent="0.25">
      <c r="E45" s="12">
        <v>43</v>
      </c>
      <c r="F45" s="52">
        <v>43748</v>
      </c>
      <c r="G45" s="89">
        <f t="shared" si="4"/>
        <v>3740642.1300000004</v>
      </c>
      <c r="H45" s="90">
        <f t="shared" si="8"/>
        <v>19096.61</v>
      </c>
      <c r="I45" s="90">
        <f t="shared" si="2"/>
        <v>6627.8000000000011</v>
      </c>
      <c r="J45" s="90">
        <f t="shared" si="9"/>
        <v>12468.81</v>
      </c>
      <c r="K45" s="89">
        <f t="shared" si="5"/>
        <v>265985.67000000004</v>
      </c>
      <c r="L45" s="89">
        <f t="shared" si="6"/>
        <v>555168.55999999994</v>
      </c>
      <c r="M45" s="89">
        <f t="shared" si="3"/>
        <v>3734014.3300000005</v>
      </c>
    </row>
    <row r="46" spans="5:16" x14ac:dyDescent="0.25">
      <c r="E46" s="12">
        <v>44</v>
      </c>
      <c r="F46" s="52">
        <v>43779</v>
      </c>
      <c r="G46" s="89">
        <f t="shared" si="4"/>
        <v>3734014.3300000005</v>
      </c>
      <c r="H46" s="90">
        <f t="shared" si="8"/>
        <v>19096.61</v>
      </c>
      <c r="I46" s="90">
        <f t="shared" si="2"/>
        <v>6649.9000000000015</v>
      </c>
      <c r="J46" s="90">
        <f t="shared" si="9"/>
        <v>12446.71</v>
      </c>
      <c r="K46" s="89">
        <f t="shared" si="5"/>
        <v>272635.57000000007</v>
      </c>
      <c r="L46" s="89">
        <f t="shared" si="6"/>
        <v>567615.2699999999</v>
      </c>
      <c r="M46" s="89">
        <f t="shared" si="3"/>
        <v>3727364.4300000006</v>
      </c>
    </row>
    <row r="47" spans="5:16" x14ac:dyDescent="0.25">
      <c r="E47" s="12">
        <v>45</v>
      </c>
      <c r="F47" s="52">
        <v>43809</v>
      </c>
      <c r="G47" s="89">
        <f t="shared" si="4"/>
        <v>3727364.4300000006</v>
      </c>
      <c r="H47" s="90">
        <f t="shared" si="8"/>
        <v>19096.61</v>
      </c>
      <c r="I47" s="90">
        <f t="shared" si="2"/>
        <v>6672.0600000000013</v>
      </c>
      <c r="J47" s="90">
        <f t="shared" si="9"/>
        <v>12424.55</v>
      </c>
      <c r="K47" s="89">
        <f t="shared" si="5"/>
        <v>279307.63000000006</v>
      </c>
      <c r="L47" s="89">
        <f t="shared" si="6"/>
        <v>580039.81999999995</v>
      </c>
      <c r="M47" s="89">
        <f t="shared" si="3"/>
        <v>3720692.3700000006</v>
      </c>
    </row>
    <row r="48" spans="5:16" x14ac:dyDescent="0.25">
      <c r="E48" s="12">
        <v>46</v>
      </c>
      <c r="F48" s="52">
        <v>43840</v>
      </c>
      <c r="G48" s="89">
        <f t="shared" si="4"/>
        <v>3720692.3700000006</v>
      </c>
      <c r="H48" s="90">
        <f t="shared" si="8"/>
        <v>19096.61</v>
      </c>
      <c r="I48" s="90">
        <f t="shared" si="2"/>
        <v>6694.3000000000011</v>
      </c>
      <c r="J48" s="90">
        <f t="shared" si="9"/>
        <v>12402.31</v>
      </c>
      <c r="K48" s="89">
        <f t="shared" si="5"/>
        <v>286001.93000000005</v>
      </c>
      <c r="L48" s="89">
        <f t="shared" si="6"/>
        <v>592442.13</v>
      </c>
      <c r="M48" s="89">
        <f t="shared" si="3"/>
        <v>3713998.0700000008</v>
      </c>
    </row>
    <row r="49" spans="5:13" x14ac:dyDescent="0.25">
      <c r="E49" s="12">
        <v>47</v>
      </c>
      <c r="F49" s="52">
        <v>43871</v>
      </c>
      <c r="G49" s="89">
        <f t="shared" si="4"/>
        <v>3713998.0700000008</v>
      </c>
      <c r="H49" s="90">
        <f t="shared" si="8"/>
        <v>19096.61</v>
      </c>
      <c r="I49" s="90">
        <f t="shared" si="2"/>
        <v>6716.6200000000008</v>
      </c>
      <c r="J49" s="90">
        <f t="shared" si="9"/>
        <v>12379.99</v>
      </c>
      <c r="K49" s="89">
        <f t="shared" si="5"/>
        <v>292718.55000000005</v>
      </c>
      <c r="L49" s="89">
        <f t="shared" si="6"/>
        <v>604822.12</v>
      </c>
      <c r="M49" s="89">
        <f t="shared" si="3"/>
        <v>3707281.4500000007</v>
      </c>
    </row>
    <row r="50" spans="5:13" x14ac:dyDescent="0.25">
      <c r="E50" s="12">
        <v>48</v>
      </c>
      <c r="F50" s="52">
        <v>43900</v>
      </c>
      <c r="G50" s="89">
        <f t="shared" si="4"/>
        <v>3707281.4500000007</v>
      </c>
      <c r="H50" s="90">
        <f t="shared" si="8"/>
        <v>19096.61</v>
      </c>
      <c r="I50" s="90">
        <f t="shared" si="2"/>
        <v>6739.01</v>
      </c>
      <c r="J50" s="90">
        <f t="shared" si="9"/>
        <v>12357.6</v>
      </c>
      <c r="K50" s="89">
        <f t="shared" si="5"/>
        <v>299457.56000000006</v>
      </c>
      <c r="L50" s="89">
        <f t="shared" si="6"/>
        <v>617179.72</v>
      </c>
      <c r="M50" s="89">
        <f t="shared" si="3"/>
        <v>3700542.4400000009</v>
      </c>
    </row>
    <row r="51" spans="5:13" x14ac:dyDescent="0.25">
      <c r="E51" s="12">
        <v>49</v>
      </c>
      <c r="F51" s="52">
        <v>43931</v>
      </c>
      <c r="G51" s="89">
        <f t="shared" si="4"/>
        <v>3700542.4400000009</v>
      </c>
      <c r="H51" s="90">
        <f t="shared" si="8"/>
        <v>19096.61</v>
      </c>
      <c r="I51" s="90">
        <f t="shared" si="2"/>
        <v>6761.4700000000012</v>
      </c>
      <c r="J51" s="90">
        <f t="shared" si="9"/>
        <v>12335.14</v>
      </c>
      <c r="K51" s="89">
        <f t="shared" si="5"/>
        <v>306219.03000000003</v>
      </c>
      <c r="L51" s="89">
        <f t="shared" si="6"/>
        <v>629514.86</v>
      </c>
      <c r="M51" s="89">
        <f t="shared" si="3"/>
        <v>3693780.9700000007</v>
      </c>
    </row>
    <row r="52" spans="5:13" x14ac:dyDescent="0.25">
      <c r="E52" s="12">
        <v>50</v>
      </c>
      <c r="F52" s="52">
        <v>43961</v>
      </c>
      <c r="G52" s="89">
        <f t="shared" si="4"/>
        <v>3693780.9700000007</v>
      </c>
      <c r="H52" s="90">
        <f t="shared" si="8"/>
        <v>19096.61</v>
      </c>
      <c r="I52" s="90">
        <f t="shared" si="2"/>
        <v>6784.01</v>
      </c>
      <c r="J52" s="90">
        <f t="shared" si="9"/>
        <v>12312.6</v>
      </c>
      <c r="K52" s="89">
        <f t="shared" si="5"/>
        <v>313003.04000000004</v>
      </c>
      <c r="L52" s="89">
        <f t="shared" si="6"/>
        <v>641827.46</v>
      </c>
      <c r="M52" s="89">
        <f t="shared" si="3"/>
        <v>3686996.9600000009</v>
      </c>
    </row>
    <row r="53" spans="5:13" x14ac:dyDescent="0.25">
      <c r="E53" s="12">
        <v>51</v>
      </c>
      <c r="F53" s="52">
        <v>43992</v>
      </c>
      <c r="G53" s="89">
        <f t="shared" si="4"/>
        <v>3686996.9600000009</v>
      </c>
      <c r="H53" s="90">
        <f t="shared" si="8"/>
        <v>19096.61</v>
      </c>
      <c r="I53" s="90">
        <f t="shared" si="2"/>
        <v>6806.6200000000008</v>
      </c>
      <c r="J53" s="90">
        <f t="shared" si="9"/>
        <v>12289.99</v>
      </c>
      <c r="K53" s="89">
        <f t="shared" si="5"/>
        <v>319809.66000000003</v>
      </c>
      <c r="L53" s="89">
        <f t="shared" si="6"/>
        <v>654117.44999999995</v>
      </c>
      <c r="M53" s="89">
        <f t="shared" si="3"/>
        <v>3680190.3400000008</v>
      </c>
    </row>
    <row r="54" spans="5:13" x14ac:dyDescent="0.25">
      <c r="E54" s="12">
        <v>52</v>
      </c>
      <c r="F54" s="52">
        <v>44022</v>
      </c>
      <c r="G54" s="89">
        <f t="shared" si="4"/>
        <v>3680190.3400000008</v>
      </c>
      <c r="H54" s="90">
        <f t="shared" si="8"/>
        <v>19096.61</v>
      </c>
      <c r="I54" s="90">
        <f t="shared" si="2"/>
        <v>6829.3100000000013</v>
      </c>
      <c r="J54" s="90">
        <f t="shared" si="9"/>
        <v>12267.3</v>
      </c>
      <c r="K54" s="89">
        <f t="shared" si="5"/>
        <v>326638.97000000003</v>
      </c>
      <c r="L54" s="89">
        <f t="shared" si="6"/>
        <v>666384.75</v>
      </c>
      <c r="M54" s="89">
        <f t="shared" si="3"/>
        <v>3673361.0300000007</v>
      </c>
    </row>
    <row r="55" spans="5:13" x14ac:dyDescent="0.25">
      <c r="E55" s="12">
        <v>53</v>
      </c>
      <c r="F55" s="52">
        <v>44053</v>
      </c>
      <c r="G55" s="89">
        <f t="shared" si="4"/>
        <v>3673361.0300000007</v>
      </c>
      <c r="H55" s="90">
        <f t="shared" si="8"/>
        <v>19096.61</v>
      </c>
      <c r="I55" s="90">
        <f t="shared" si="2"/>
        <v>6852.07</v>
      </c>
      <c r="J55" s="90">
        <f t="shared" si="9"/>
        <v>12244.54</v>
      </c>
      <c r="K55" s="89">
        <f t="shared" si="5"/>
        <v>333491.04000000004</v>
      </c>
      <c r="L55" s="89">
        <f t="shared" si="6"/>
        <v>678629.29</v>
      </c>
      <c r="M55" s="89">
        <f t="shared" si="3"/>
        <v>3666508.9600000009</v>
      </c>
    </row>
    <row r="56" spans="5:13" x14ac:dyDescent="0.25">
      <c r="E56" s="12">
        <v>54</v>
      </c>
      <c r="F56" s="52">
        <v>44084</v>
      </c>
      <c r="G56" s="89">
        <f t="shared" si="4"/>
        <v>3666508.9600000009</v>
      </c>
      <c r="H56" s="90">
        <f t="shared" si="8"/>
        <v>19096.61</v>
      </c>
      <c r="I56" s="90">
        <f t="shared" si="2"/>
        <v>6874.91</v>
      </c>
      <c r="J56" s="90">
        <f t="shared" si="9"/>
        <v>12221.7</v>
      </c>
      <c r="K56" s="89">
        <f t="shared" si="5"/>
        <v>340365.95</v>
      </c>
      <c r="L56" s="89">
        <f t="shared" si="6"/>
        <v>690850.99</v>
      </c>
      <c r="M56" s="89">
        <f t="shared" si="3"/>
        <v>3659634.0500000007</v>
      </c>
    </row>
    <row r="57" spans="5:13" x14ac:dyDescent="0.25">
      <c r="E57" s="12">
        <v>55</v>
      </c>
      <c r="F57" s="52">
        <v>44114</v>
      </c>
      <c r="G57" s="89">
        <f t="shared" si="4"/>
        <v>3659634.0500000007</v>
      </c>
      <c r="H57" s="90">
        <f t="shared" si="8"/>
        <v>19096.61</v>
      </c>
      <c r="I57" s="90">
        <f t="shared" si="2"/>
        <v>6897.83</v>
      </c>
      <c r="J57" s="90">
        <f t="shared" si="9"/>
        <v>12198.78</v>
      </c>
      <c r="K57" s="89">
        <f t="shared" si="5"/>
        <v>347263.78</v>
      </c>
      <c r="L57" s="89">
        <f t="shared" si="6"/>
        <v>703049.77</v>
      </c>
      <c r="M57" s="89">
        <f t="shared" si="3"/>
        <v>3652736.2200000007</v>
      </c>
    </row>
  </sheetData>
  <pageMargins left="0.7" right="0.7" top="0.75" bottom="0.75" header="0.3" footer="0.3"/>
  <pageSetup paperSize="5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80" zoomScaleNormal="80" workbookViewId="0">
      <selection activeCell="A3" sqref="A3"/>
    </sheetView>
  </sheetViews>
  <sheetFormatPr defaultRowHeight="15" x14ac:dyDescent="0.25"/>
  <cols>
    <col min="1" max="1" width="62.5546875" style="5" customWidth="1"/>
    <col min="2" max="3" width="17.5546875" style="5" customWidth="1"/>
    <col min="4" max="8" width="11.21875" style="5" bestFit="1" customWidth="1"/>
    <col min="9" max="9" width="11.109375" style="5" customWidth="1"/>
    <col min="10" max="15" width="11.21875" style="5" bestFit="1" customWidth="1"/>
    <col min="16" max="16" width="14.5546875" style="5" customWidth="1"/>
    <col min="17" max="17" width="14.6640625" style="5" customWidth="1"/>
    <col min="18" max="18" width="12.33203125" style="5" customWidth="1"/>
    <col min="19" max="19" width="11.88671875" style="5" customWidth="1"/>
    <col min="20" max="16384" width="8.88671875" style="5"/>
  </cols>
  <sheetData>
    <row r="1" spans="1:28" ht="23.25" x14ac:dyDescent="0.35">
      <c r="A1" s="96" t="s">
        <v>162</v>
      </c>
    </row>
    <row r="2" spans="1:28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</row>
    <row r="3" spans="1:28" s="123" customFormat="1" ht="35.25" customHeight="1" x14ac:dyDescent="0.25">
      <c r="A3" s="121"/>
      <c r="B3" s="97" t="s">
        <v>163</v>
      </c>
      <c r="C3" s="97" t="s">
        <v>164</v>
      </c>
      <c r="D3" s="98">
        <v>42019</v>
      </c>
      <c r="E3" s="98">
        <v>42050</v>
      </c>
      <c r="F3" s="98">
        <v>42078</v>
      </c>
      <c r="G3" s="98">
        <v>42109</v>
      </c>
      <c r="H3" s="98">
        <v>42139</v>
      </c>
      <c r="I3" s="98">
        <v>42170</v>
      </c>
      <c r="J3" s="98">
        <v>42200</v>
      </c>
      <c r="K3" s="98">
        <v>42231</v>
      </c>
      <c r="L3" s="98">
        <v>42262</v>
      </c>
      <c r="M3" s="98">
        <v>42292</v>
      </c>
      <c r="N3" s="98">
        <v>42323</v>
      </c>
      <c r="O3" s="98">
        <v>42353</v>
      </c>
      <c r="P3" s="98" t="s">
        <v>165</v>
      </c>
      <c r="Q3" s="98" t="s">
        <v>166</v>
      </c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</row>
    <row r="4" spans="1:28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</row>
    <row r="5" spans="1:28" x14ac:dyDescent="0.25">
      <c r="A5" s="99" t="s">
        <v>167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</row>
    <row r="6" spans="1:28" x14ac:dyDescent="0.25">
      <c r="A6" s="120" t="s">
        <v>168</v>
      </c>
      <c r="B6" s="124"/>
      <c r="C6" s="124"/>
      <c r="D6" s="124">
        <v>13500</v>
      </c>
      <c r="E6" s="124">
        <v>13500</v>
      </c>
      <c r="F6" s="124">
        <v>13500</v>
      </c>
      <c r="G6" s="124">
        <v>13500</v>
      </c>
      <c r="H6" s="124">
        <v>13500</v>
      </c>
      <c r="I6" s="124">
        <v>13500</v>
      </c>
      <c r="J6" s="124">
        <v>13500</v>
      </c>
      <c r="K6" s="124">
        <v>15187</v>
      </c>
      <c r="L6" s="124">
        <v>18750.5</v>
      </c>
      <c r="M6" s="124">
        <v>25525</v>
      </c>
      <c r="N6" s="124">
        <v>25525</v>
      </c>
      <c r="O6" s="124">
        <v>25525</v>
      </c>
      <c r="P6" s="124">
        <f>SUM(D6:O6)</f>
        <v>205012.5</v>
      </c>
      <c r="Q6" s="120"/>
    </row>
    <row r="7" spans="1:28" x14ac:dyDescent="0.25">
      <c r="A7" s="120" t="s">
        <v>169</v>
      </c>
      <c r="B7" s="124"/>
      <c r="C7" s="124"/>
      <c r="D7" s="124">
        <v>219</v>
      </c>
      <c r="E7" s="124">
        <v>219</v>
      </c>
      <c r="F7" s="124">
        <v>219</v>
      </c>
      <c r="G7" s="124">
        <v>219</v>
      </c>
      <c r="H7" s="124">
        <v>219</v>
      </c>
      <c r="I7" s="124">
        <v>438</v>
      </c>
      <c r="J7" s="124">
        <v>438</v>
      </c>
      <c r="K7" s="124">
        <v>1099</v>
      </c>
      <c r="L7" s="124">
        <v>2146</v>
      </c>
      <c r="M7" s="124">
        <v>2146</v>
      </c>
      <c r="N7" s="124">
        <v>2146</v>
      </c>
      <c r="O7" s="124">
        <v>2146</v>
      </c>
      <c r="P7" s="124">
        <f>SUM(D7:O7)</f>
        <v>11654</v>
      </c>
      <c r="Q7" s="120"/>
    </row>
    <row r="8" spans="1:28" x14ac:dyDescent="0.25">
      <c r="A8" s="120" t="s">
        <v>170</v>
      </c>
      <c r="B8" s="124"/>
      <c r="C8" s="124"/>
      <c r="D8" s="124">
        <v>329</v>
      </c>
      <c r="E8" s="124">
        <v>329</v>
      </c>
      <c r="F8" s="124">
        <v>329</v>
      </c>
      <c r="G8" s="124">
        <v>329</v>
      </c>
      <c r="H8" s="124">
        <v>236</v>
      </c>
      <c r="I8" s="124">
        <v>236</v>
      </c>
      <c r="J8" s="124">
        <v>236</v>
      </c>
      <c r="K8" s="124">
        <v>1097</v>
      </c>
      <c r="L8" s="124">
        <v>391</v>
      </c>
      <c r="M8" s="124">
        <v>236</v>
      </c>
      <c r="N8" s="124">
        <v>236</v>
      </c>
      <c r="O8" s="124">
        <v>236</v>
      </c>
      <c r="P8" s="124">
        <f>SUM(D8:O8)</f>
        <v>4220</v>
      </c>
      <c r="Q8" s="120"/>
    </row>
    <row r="9" spans="1:28" x14ac:dyDescent="0.25">
      <c r="A9" s="120" t="s">
        <v>171</v>
      </c>
      <c r="B9" s="124"/>
      <c r="C9" s="124"/>
      <c r="D9" s="124">
        <v>3087</v>
      </c>
      <c r="E9" s="124">
        <v>3087</v>
      </c>
      <c r="F9" s="124">
        <v>3087</v>
      </c>
      <c r="G9" s="124">
        <v>3087</v>
      </c>
      <c r="H9" s="124">
        <v>3181</v>
      </c>
      <c r="I9" s="124">
        <v>3180</v>
      </c>
      <c r="J9" s="124">
        <v>3180</v>
      </c>
      <c r="K9" s="124">
        <v>1448</v>
      </c>
      <c r="L9" s="124">
        <v>5782</v>
      </c>
      <c r="M9" s="124">
        <v>5975</v>
      </c>
      <c r="N9" s="124">
        <v>5975</v>
      </c>
      <c r="O9" s="124">
        <v>5975</v>
      </c>
      <c r="P9" s="124">
        <f>SUM(D9:O9)</f>
        <v>47044</v>
      </c>
      <c r="Q9" s="120"/>
    </row>
    <row r="10" spans="1:28" x14ac:dyDescent="0.25">
      <c r="A10" s="120" t="s">
        <v>172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0"/>
    </row>
    <row r="11" spans="1:28" x14ac:dyDescent="0.25">
      <c r="A11" s="120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0"/>
    </row>
    <row r="12" spans="1:28" s="2" customFormat="1" x14ac:dyDescent="0.25">
      <c r="A12" s="100" t="s">
        <v>173</v>
      </c>
      <c r="B12" s="101"/>
      <c r="C12" s="101"/>
      <c r="D12" s="101">
        <f>SUM(D6:D10)</f>
        <v>17135</v>
      </c>
      <c r="E12" s="101">
        <f t="shared" ref="E12:O12" si="0">SUM(E6:E10)</f>
        <v>17135</v>
      </c>
      <c r="F12" s="101">
        <f t="shared" si="0"/>
        <v>17135</v>
      </c>
      <c r="G12" s="101">
        <f t="shared" si="0"/>
        <v>17135</v>
      </c>
      <c r="H12" s="101">
        <f t="shared" si="0"/>
        <v>17136</v>
      </c>
      <c r="I12" s="101">
        <f t="shared" si="0"/>
        <v>17354</v>
      </c>
      <c r="J12" s="101">
        <f t="shared" si="0"/>
        <v>17354</v>
      </c>
      <c r="K12" s="101">
        <f t="shared" si="0"/>
        <v>18831</v>
      </c>
      <c r="L12" s="101">
        <f t="shared" si="0"/>
        <v>27069.5</v>
      </c>
      <c r="M12" s="101">
        <f t="shared" si="0"/>
        <v>33882</v>
      </c>
      <c r="N12" s="101">
        <f t="shared" si="0"/>
        <v>33882</v>
      </c>
      <c r="O12" s="101">
        <f t="shared" si="0"/>
        <v>33882</v>
      </c>
      <c r="P12" s="101">
        <f>SUM(D12:O12)</f>
        <v>267930.5</v>
      </c>
      <c r="Q12" s="100"/>
      <c r="R12" s="102">
        <f>SUM(P6:P10)</f>
        <v>267930.5</v>
      </c>
    </row>
    <row r="13" spans="1:28" x14ac:dyDescent="0.25">
      <c r="A13" s="120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0"/>
    </row>
    <row r="14" spans="1:28" x14ac:dyDescent="0.25">
      <c r="A14" s="120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0"/>
    </row>
    <row r="15" spans="1:28" x14ac:dyDescent="0.25">
      <c r="A15" s="99" t="s">
        <v>174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0"/>
    </row>
    <row r="16" spans="1:28" x14ac:dyDescent="0.25">
      <c r="A16" s="100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0"/>
    </row>
    <row r="17" spans="1:19" s="2" customFormat="1" x14ac:dyDescent="0.25">
      <c r="A17" s="100" t="s">
        <v>175</v>
      </c>
      <c r="B17" s="101"/>
      <c r="C17" s="101"/>
      <c r="D17" s="101">
        <v>39265</v>
      </c>
      <c r="E17" s="101">
        <v>20039</v>
      </c>
      <c r="F17" s="101">
        <v>21608</v>
      </c>
      <c r="G17" s="101">
        <v>39317</v>
      </c>
      <c r="H17" s="101">
        <v>22403</v>
      </c>
      <c r="I17" s="101">
        <v>24781</v>
      </c>
      <c r="J17" s="101">
        <v>39352</v>
      </c>
      <c r="K17" s="101">
        <v>27074</v>
      </c>
      <c r="L17" s="101">
        <v>20688</v>
      </c>
      <c r="M17" s="101">
        <v>44005.31</v>
      </c>
      <c r="N17" s="101">
        <v>20495.43</v>
      </c>
      <c r="O17" s="101">
        <v>30934.510000000006</v>
      </c>
      <c r="P17" s="101">
        <f>SUM(D17:O17)</f>
        <v>349962.25</v>
      </c>
      <c r="Q17" s="100"/>
    </row>
    <row r="18" spans="1:19" x14ac:dyDescent="0.25">
      <c r="A18" s="120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0"/>
    </row>
    <row r="19" spans="1:19" x14ac:dyDescent="0.25">
      <c r="A19" s="120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0"/>
    </row>
    <row r="20" spans="1:19" x14ac:dyDescent="0.25">
      <c r="A20" s="120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0"/>
    </row>
    <row r="21" spans="1:19" x14ac:dyDescent="0.25">
      <c r="A21" s="103" t="s">
        <v>176</v>
      </c>
      <c r="B21" s="124">
        <v>799898</v>
      </c>
      <c r="C21" s="104">
        <v>119537</v>
      </c>
      <c r="D21" s="104">
        <v>120121</v>
      </c>
      <c r="E21" s="104">
        <v>224505</v>
      </c>
      <c r="F21" s="104"/>
      <c r="G21" s="104"/>
      <c r="H21" s="104">
        <v>159655</v>
      </c>
      <c r="I21" s="104"/>
      <c r="J21" s="104"/>
      <c r="K21" s="105"/>
      <c r="L21" s="105"/>
      <c r="M21" s="124">
        <v>135735</v>
      </c>
      <c r="N21" s="124">
        <v>40345</v>
      </c>
      <c r="O21" s="124"/>
      <c r="P21" s="124">
        <f>SUM(D21:O21)</f>
        <v>680361</v>
      </c>
      <c r="Q21" s="124">
        <f>C21+P21</f>
        <v>799898</v>
      </c>
    </row>
    <row r="22" spans="1:19" x14ac:dyDescent="0.25">
      <c r="A22" s="120" t="s">
        <v>177</v>
      </c>
      <c r="B22" s="124"/>
      <c r="C22" s="105"/>
      <c r="D22" s="105"/>
      <c r="E22" s="105"/>
      <c r="F22" s="106"/>
      <c r="G22" s="105"/>
      <c r="H22" s="105"/>
      <c r="I22" s="105"/>
      <c r="J22" s="105"/>
      <c r="K22" s="105"/>
      <c r="L22" s="106"/>
      <c r="M22" s="124">
        <v>-7815</v>
      </c>
      <c r="N22" s="124"/>
      <c r="O22" s="124"/>
      <c r="P22" s="124">
        <f t="shared" ref="P22:P34" si="1">SUM(D22:O22)</f>
        <v>-7815</v>
      </c>
      <c r="Q22" s="124">
        <f t="shared" ref="Q22:Q29" si="2">C22+P22</f>
        <v>-7815</v>
      </c>
    </row>
    <row r="23" spans="1:19" x14ac:dyDescent="0.25">
      <c r="A23" s="120" t="s">
        <v>178</v>
      </c>
      <c r="B23" s="124"/>
      <c r="C23" s="105"/>
      <c r="D23" s="105"/>
      <c r="E23" s="105"/>
      <c r="F23" s="105"/>
      <c r="G23" s="105"/>
      <c r="H23" s="105"/>
      <c r="I23" s="105"/>
      <c r="J23" s="105"/>
      <c r="K23" s="105"/>
      <c r="L23" s="106"/>
      <c r="M23" s="124">
        <v>28219</v>
      </c>
      <c r="N23" s="124"/>
      <c r="O23" s="124"/>
      <c r="P23" s="124">
        <f t="shared" si="1"/>
        <v>28219</v>
      </c>
      <c r="Q23" s="124">
        <f t="shared" si="2"/>
        <v>28219</v>
      </c>
    </row>
    <row r="24" spans="1:19" x14ac:dyDescent="0.25">
      <c r="A24" s="120" t="s">
        <v>179</v>
      </c>
      <c r="B24" s="12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24">
        <v>5210</v>
      </c>
      <c r="N24" s="124"/>
      <c r="O24" s="124"/>
      <c r="P24" s="124"/>
      <c r="Q24" s="124"/>
    </row>
    <row r="25" spans="1:19" x14ac:dyDescent="0.25">
      <c r="A25" s="120" t="s">
        <v>180</v>
      </c>
      <c r="B25" s="124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24">
        <v>21460</v>
      </c>
      <c r="N25" s="124"/>
      <c r="O25" s="124"/>
      <c r="P25" s="124">
        <f t="shared" si="1"/>
        <v>21460</v>
      </c>
      <c r="Q25" s="124">
        <f t="shared" si="2"/>
        <v>21460</v>
      </c>
    </row>
    <row r="26" spans="1:19" x14ac:dyDescent="0.25">
      <c r="A26" s="120" t="s">
        <v>181</v>
      </c>
      <c r="B26" s="124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24"/>
      <c r="N26" s="124">
        <v>15000</v>
      </c>
      <c r="O26" s="124"/>
      <c r="P26" s="124"/>
      <c r="Q26" s="124"/>
    </row>
    <row r="27" spans="1:19" x14ac:dyDescent="0.25">
      <c r="A27" s="120" t="s">
        <v>182</v>
      </c>
      <c r="B27" s="124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24"/>
      <c r="N27" s="124">
        <v>4350</v>
      </c>
      <c r="O27" s="124"/>
      <c r="P27" s="124"/>
      <c r="Q27" s="124"/>
    </row>
    <row r="28" spans="1:19" x14ac:dyDescent="0.25">
      <c r="A28" s="120" t="s">
        <v>183</v>
      </c>
      <c r="B28" s="124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24"/>
      <c r="N28" s="124"/>
      <c r="O28" s="124"/>
      <c r="P28" s="124">
        <f t="shared" si="1"/>
        <v>0</v>
      </c>
      <c r="Q28" s="124">
        <f t="shared" si="2"/>
        <v>0</v>
      </c>
    </row>
    <row r="29" spans="1:19" x14ac:dyDescent="0.25">
      <c r="A29" s="120" t="s">
        <v>183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7"/>
      <c r="N29" s="107"/>
      <c r="O29" s="107"/>
      <c r="P29" s="125">
        <f t="shared" si="1"/>
        <v>0</v>
      </c>
      <c r="Q29" s="125">
        <f t="shared" si="2"/>
        <v>0</v>
      </c>
    </row>
    <row r="30" spans="1:19" x14ac:dyDescent="0.25">
      <c r="A30" s="120"/>
      <c r="B30" s="126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26"/>
      <c r="N30" s="126"/>
      <c r="O30" s="126"/>
      <c r="P30" s="126"/>
      <c r="Q30" s="127"/>
    </row>
    <row r="31" spans="1:19" s="2" customFormat="1" x14ac:dyDescent="0.25">
      <c r="A31" s="100" t="s">
        <v>184</v>
      </c>
      <c r="B31" s="101">
        <f t="shared" ref="B31:C31" si="3">SUM(B21:B29)</f>
        <v>799898</v>
      </c>
      <c r="C31" s="104">
        <f t="shared" si="3"/>
        <v>119537</v>
      </c>
      <c r="D31" s="104">
        <f>SUM(D21:D29)</f>
        <v>120121</v>
      </c>
      <c r="E31" s="104">
        <f t="shared" ref="E31:O31" si="4">SUM(E21:E29)</f>
        <v>224505</v>
      </c>
      <c r="F31" s="104">
        <f t="shared" si="4"/>
        <v>0</v>
      </c>
      <c r="G31" s="104">
        <f t="shared" si="4"/>
        <v>0</v>
      </c>
      <c r="H31" s="104">
        <f t="shared" si="4"/>
        <v>159655</v>
      </c>
      <c r="I31" s="104">
        <f t="shared" si="4"/>
        <v>0</v>
      </c>
      <c r="J31" s="104">
        <f t="shared" si="4"/>
        <v>0</v>
      </c>
      <c r="K31" s="104">
        <f t="shared" si="4"/>
        <v>0</v>
      </c>
      <c r="L31" s="104">
        <f t="shared" si="4"/>
        <v>0</v>
      </c>
      <c r="M31" s="101">
        <f t="shared" si="4"/>
        <v>182809</v>
      </c>
      <c r="N31" s="101">
        <f t="shared" si="4"/>
        <v>59695</v>
      </c>
      <c r="O31" s="101">
        <f t="shared" si="4"/>
        <v>0</v>
      </c>
      <c r="P31" s="101">
        <f t="shared" si="1"/>
        <v>746785</v>
      </c>
      <c r="Q31" s="101">
        <f>C31+P31</f>
        <v>866322</v>
      </c>
      <c r="S31" s="102">
        <f>SUM(P21:P29)</f>
        <v>722225</v>
      </c>
    </row>
    <row r="32" spans="1:19" x14ac:dyDescent="0.25">
      <c r="A32" s="120"/>
      <c r="B32" s="12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24"/>
      <c r="N32" s="124"/>
      <c r="O32" s="124"/>
      <c r="P32" s="124"/>
      <c r="Q32" s="120"/>
    </row>
    <row r="33" spans="1:19" x14ac:dyDescent="0.25">
      <c r="A33" s="103" t="s">
        <v>185</v>
      </c>
      <c r="B33" s="124">
        <v>89083</v>
      </c>
      <c r="C33" s="105">
        <v>87915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0</v>
      </c>
      <c r="M33" s="124">
        <v>0</v>
      </c>
      <c r="N33" s="124">
        <v>0</v>
      </c>
      <c r="O33" s="124">
        <v>0</v>
      </c>
      <c r="P33" s="124">
        <f t="shared" si="1"/>
        <v>0</v>
      </c>
      <c r="Q33" s="124">
        <f>C33+P33</f>
        <v>87915</v>
      </c>
    </row>
    <row r="34" spans="1:19" x14ac:dyDescent="0.25">
      <c r="A34" s="120" t="s">
        <v>183</v>
      </c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7"/>
      <c r="N34" s="107"/>
      <c r="O34" s="107"/>
      <c r="P34" s="125">
        <f t="shared" si="1"/>
        <v>0</v>
      </c>
      <c r="Q34" s="125"/>
    </row>
    <row r="35" spans="1:19" x14ac:dyDescent="0.25">
      <c r="A35" s="120"/>
      <c r="B35" s="126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26"/>
      <c r="N35" s="126"/>
      <c r="O35" s="126"/>
      <c r="P35" s="126"/>
      <c r="Q35" s="127"/>
    </row>
    <row r="36" spans="1:19" s="2" customFormat="1" x14ac:dyDescent="0.25">
      <c r="A36" s="100" t="s">
        <v>186</v>
      </c>
      <c r="B36" s="101">
        <f t="shared" ref="B36:O36" si="5">SUM(B33:B34)</f>
        <v>89083</v>
      </c>
      <c r="C36" s="104">
        <f t="shared" si="5"/>
        <v>87915</v>
      </c>
      <c r="D36" s="104">
        <f t="shared" si="5"/>
        <v>0</v>
      </c>
      <c r="E36" s="104">
        <f t="shared" si="5"/>
        <v>0</v>
      </c>
      <c r="F36" s="104">
        <f t="shared" si="5"/>
        <v>0</v>
      </c>
      <c r="G36" s="104">
        <f t="shared" si="5"/>
        <v>0</v>
      </c>
      <c r="H36" s="104">
        <f t="shared" si="5"/>
        <v>0</v>
      </c>
      <c r="I36" s="104">
        <f t="shared" si="5"/>
        <v>0</v>
      </c>
      <c r="J36" s="104">
        <f t="shared" si="5"/>
        <v>0</v>
      </c>
      <c r="K36" s="104">
        <f t="shared" si="5"/>
        <v>0</v>
      </c>
      <c r="L36" s="104">
        <f t="shared" si="5"/>
        <v>0</v>
      </c>
      <c r="M36" s="101">
        <f t="shared" si="5"/>
        <v>0</v>
      </c>
      <c r="N36" s="101">
        <f t="shared" si="5"/>
        <v>0</v>
      </c>
      <c r="O36" s="101">
        <f t="shared" si="5"/>
        <v>0</v>
      </c>
      <c r="P36" s="101">
        <f t="shared" ref="P36" si="6">SUM(D36:O36)</f>
        <v>0</v>
      </c>
      <c r="Q36" s="101">
        <f>C36+P36</f>
        <v>87915</v>
      </c>
    </row>
    <row r="37" spans="1:19" x14ac:dyDescent="0.25">
      <c r="A37" s="120"/>
      <c r="B37" s="12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24"/>
      <c r="N37" s="124"/>
      <c r="O37" s="124"/>
      <c r="P37" s="124"/>
      <c r="Q37" s="120"/>
    </row>
    <row r="38" spans="1:19" x14ac:dyDescent="0.25">
      <c r="A38" s="103" t="s">
        <v>187</v>
      </c>
      <c r="B38" s="12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24"/>
      <c r="N38" s="124"/>
      <c r="O38" s="124"/>
      <c r="P38" s="124"/>
      <c r="Q38" s="120"/>
    </row>
    <row r="39" spans="1:19" x14ac:dyDescent="0.25">
      <c r="A39" s="120" t="s">
        <v>188</v>
      </c>
      <c r="B39" s="124">
        <v>32900</v>
      </c>
      <c r="C39" s="105"/>
      <c r="D39" s="104"/>
      <c r="E39" s="104"/>
      <c r="F39" s="104">
        <v>3200</v>
      </c>
      <c r="G39" s="104"/>
      <c r="H39" s="104">
        <v>20100</v>
      </c>
      <c r="I39" s="104">
        <v>9600</v>
      </c>
      <c r="J39" s="105"/>
      <c r="K39" s="105"/>
      <c r="L39" s="105"/>
      <c r="M39" s="124"/>
      <c r="N39" s="124"/>
      <c r="O39" s="124"/>
      <c r="P39" s="124">
        <f t="shared" ref="P39:P46" si="7">SUM(D39:O39)</f>
        <v>32900</v>
      </c>
      <c r="Q39" s="124">
        <f t="shared" ref="Q39:Q46" si="8">C39+P39</f>
        <v>32900</v>
      </c>
    </row>
    <row r="40" spans="1:19" x14ac:dyDescent="0.25">
      <c r="A40" s="120" t="s">
        <v>189</v>
      </c>
      <c r="B40" s="124">
        <v>1500</v>
      </c>
      <c r="C40" s="105"/>
      <c r="D40" s="105"/>
      <c r="E40" s="105"/>
      <c r="F40" s="105"/>
      <c r="G40" s="105"/>
      <c r="H40" s="104">
        <v>1500</v>
      </c>
      <c r="I40" s="105"/>
      <c r="J40" s="105"/>
      <c r="K40" s="105"/>
      <c r="L40" s="105"/>
      <c r="M40" s="124"/>
      <c r="N40" s="124"/>
      <c r="O40" s="124"/>
      <c r="P40" s="124">
        <f t="shared" si="7"/>
        <v>1500</v>
      </c>
      <c r="Q40" s="124">
        <v>1500</v>
      </c>
    </row>
    <row r="41" spans="1:19" x14ac:dyDescent="0.25">
      <c r="A41" s="120" t="s">
        <v>190</v>
      </c>
      <c r="B41" s="124">
        <v>5800</v>
      </c>
      <c r="C41" s="105"/>
      <c r="D41" s="105"/>
      <c r="E41" s="105"/>
      <c r="F41" s="105"/>
      <c r="G41" s="104">
        <v>5613</v>
      </c>
      <c r="H41" s="105"/>
      <c r="I41" s="105"/>
      <c r="J41" s="105"/>
      <c r="K41" s="105"/>
      <c r="L41" s="105"/>
      <c r="M41" s="124"/>
      <c r="N41" s="124"/>
      <c r="O41" s="124"/>
      <c r="P41" s="124">
        <f t="shared" si="7"/>
        <v>5613</v>
      </c>
      <c r="Q41" s="124">
        <f t="shared" si="8"/>
        <v>5613</v>
      </c>
    </row>
    <row r="42" spans="1:19" x14ac:dyDescent="0.25">
      <c r="A42" s="120" t="s">
        <v>191</v>
      </c>
      <c r="B42" s="124">
        <v>1000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5">
        <v>508</v>
      </c>
      <c r="M42" s="124"/>
      <c r="N42" s="124"/>
      <c r="O42" s="124"/>
      <c r="P42" s="124">
        <f t="shared" si="7"/>
        <v>508</v>
      </c>
      <c r="Q42" s="124">
        <f t="shared" si="8"/>
        <v>508</v>
      </c>
    </row>
    <row r="43" spans="1:19" x14ac:dyDescent="0.25">
      <c r="A43" s="120" t="s">
        <v>192</v>
      </c>
      <c r="B43" s="124">
        <v>0</v>
      </c>
      <c r="C43" s="105"/>
      <c r="D43" s="105"/>
      <c r="E43" s="105"/>
      <c r="F43" s="105">
        <v>4967</v>
      </c>
      <c r="G43" s="105"/>
      <c r="H43" s="105"/>
      <c r="I43" s="105"/>
      <c r="J43" s="105"/>
      <c r="K43" s="105"/>
      <c r="L43" s="105">
        <v>536</v>
      </c>
      <c r="M43" s="124"/>
      <c r="N43" s="124"/>
      <c r="O43" s="124"/>
      <c r="P43" s="124">
        <f t="shared" si="7"/>
        <v>5503</v>
      </c>
      <c r="Q43" s="124">
        <f t="shared" si="8"/>
        <v>5503</v>
      </c>
    </row>
    <row r="44" spans="1:19" x14ac:dyDescent="0.25">
      <c r="A44" s="120" t="s">
        <v>193</v>
      </c>
      <c r="B44" s="124">
        <v>4400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24"/>
      <c r="N44" s="124"/>
      <c r="O44" s="124"/>
      <c r="P44" s="124">
        <f t="shared" si="7"/>
        <v>0</v>
      </c>
      <c r="Q44" s="124">
        <f t="shared" si="8"/>
        <v>0</v>
      </c>
    </row>
    <row r="45" spans="1:19" x14ac:dyDescent="0.25">
      <c r="A45" s="120" t="s">
        <v>194</v>
      </c>
      <c r="B45" s="128"/>
      <c r="C45" s="110"/>
      <c r="D45" s="110"/>
      <c r="E45" s="110"/>
      <c r="F45" s="110"/>
      <c r="G45" s="110"/>
      <c r="H45" s="110"/>
      <c r="I45" s="110"/>
      <c r="J45" s="110"/>
      <c r="K45" s="110">
        <v>3450</v>
      </c>
      <c r="L45" s="110"/>
      <c r="M45" s="128">
        <v>3450</v>
      </c>
      <c r="N45" s="128"/>
      <c r="O45" s="128"/>
      <c r="P45" s="124">
        <f t="shared" si="7"/>
        <v>6900</v>
      </c>
      <c r="Q45" s="124">
        <f t="shared" si="8"/>
        <v>6900</v>
      </c>
    </row>
    <row r="46" spans="1:19" x14ac:dyDescent="0.25">
      <c r="A46" s="120" t="s">
        <v>195</v>
      </c>
      <c r="B46" s="125">
        <v>83905</v>
      </c>
      <c r="C46" s="111"/>
      <c r="D46" s="111"/>
      <c r="E46" s="111"/>
      <c r="F46" s="112"/>
      <c r="G46" s="112">
        <v>25171</v>
      </c>
      <c r="H46" s="112">
        <v>50416</v>
      </c>
      <c r="I46" s="111"/>
      <c r="J46" s="112"/>
      <c r="K46" s="113">
        <v>8318</v>
      </c>
      <c r="L46" s="113"/>
      <c r="M46" s="107"/>
      <c r="N46" s="107"/>
      <c r="O46" s="107"/>
      <c r="P46" s="125">
        <f t="shared" si="7"/>
        <v>83905</v>
      </c>
      <c r="Q46" s="125">
        <f t="shared" si="8"/>
        <v>83905</v>
      </c>
    </row>
    <row r="47" spans="1:19" x14ac:dyDescent="0.25">
      <c r="A47" s="120"/>
      <c r="B47" s="126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26"/>
      <c r="N47" s="126"/>
      <c r="O47" s="126"/>
      <c r="P47" s="126"/>
      <c r="Q47" s="127"/>
    </row>
    <row r="48" spans="1:19" s="2" customFormat="1" x14ac:dyDescent="0.25">
      <c r="A48" s="100" t="s">
        <v>196</v>
      </c>
      <c r="B48" s="101">
        <f>SUM(B39:B46)</f>
        <v>129505</v>
      </c>
      <c r="C48" s="104">
        <f>SUM(C39:C46)</f>
        <v>0</v>
      </c>
      <c r="D48" s="104">
        <f t="shared" ref="D48:O48" si="9">SUM(D39:D46)</f>
        <v>0</v>
      </c>
      <c r="E48" s="104">
        <f t="shared" si="9"/>
        <v>0</v>
      </c>
      <c r="F48" s="104">
        <f t="shared" si="9"/>
        <v>8167</v>
      </c>
      <c r="G48" s="104">
        <f t="shared" si="9"/>
        <v>30784</v>
      </c>
      <c r="H48" s="104">
        <f t="shared" si="9"/>
        <v>72016</v>
      </c>
      <c r="I48" s="104">
        <f t="shared" si="9"/>
        <v>9600</v>
      </c>
      <c r="J48" s="104">
        <f t="shared" si="9"/>
        <v>0</v>
      </c>
      <c r="K48" s="104">
        <f t="shared" si="9"/>
        <v>11768</v>
      </c>
      <c r="L48" s="104">
        <f t="shared" si="9"/>
        <v>1044</v>
      </c>
      <c r="M48" s="101">
        <f t="shared" si="9"/>
        <v>3450</v>
      </c>
      <c r="N48" s="101">
        <f t="shared" si="9"/>
        <v>0</v>
      </c>
      <c r="O48" s="101">
        <f t="shared" si="9"/>
        <v>0</v>
      </c>
      <c r="P48" s="101">
        <f t="shared" ref="P48" si="10">SUM(D48:O48)</f>
        <v>136829</v>
      </c>
      <c r="Q48" s="101">
        <f>C48+P48</f>
        <v>136829</v>
      </c>
      <c r="S48" s="102">
        <f>SUM(P39:P46)</f>
        <v>136829</v>
      </c>
    </row>
    <row r="49" spans="1:19" x14ac:dyDescent="0.25">
      <c r="A49" s="120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0"/>
    </row>
    <row r="50" spans="1:19" x14ac:dyDescent="0.25">
      <c r="A50" s="120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0"/>
    </row>
    <row r="51" spans="1:19" x14ac:dyDescent="0.25">
      <c r="A51" s="120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0"/>
    </row>
    <row r="52" spans="1:19" x14ac:dyDescent="0.25">
      <c r="A52" s="103" t="s">
        <v>197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0"/>
    </row>
    <row r="53" spans="1:19" x14ac:dyDescent="0.25">
      <c r="A53" s="120" t="s">
        <v>198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>
        <v>12564.06</v>
      </c>
      <c r="N53" s="124"/>
      <c r="O53" s="124"/>
      <c r="P53" s="124">
        <f t="shared" ref="P53:P60" si="11">SUM(D53:O53)</f>
        <v>12564.06</v>
      </c>
      <c r="Q53" s="124">
        <f t="shared" ref="Q53:Q58" si="12">C53+P53</f>
        <v>12564.06</v>
      </c>
    </row>
    <row r="54" spans="1:19" x14ac:dyDescent="0.25">
      <c r="A54" s="120" t="s">
        <v>199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>
        <f t="shared" si="11"/>
        <v>0</v>
      </c>
      <c r="Q54" s="124">
        <f t="shared" si="12"/>
        <v>0</v>
      </c>
    </row>
    <row r="55" spans="1:19" x14ac:dyDescent="0.25">
      <c r="A55" s="120" t="s">
        <v>200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>
        <v>9137</v>
      </c>
      <c r="N55" s="124"/>
      <c r="O55" s="124"/>
      <c r="P55" s="124">
        <f t="shared" si="11"/>
        <v>9137</v>
      </c>
      <c r="Q55" s="124">
        <f t="shared" si="12"/>
        <v>9137</v>
      </c>
    </row>
    <row r="56" spans="1:19" x14ac:dyDescent="0.25">
      <c r="A56" s="120" t="s">
        <v>201</v>
      </c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>
        <f t="shared" si="11"/>
        <v>0</v>
      </c>
      <c r="Q56" s="124">
        <f t="shared" si="12"/>
        <v>0</v>
      </c>
    </row>
    <row r="57" spans="1:19" x14ac:dyDescent="0.25">
      <c r="A57" s="120" t="s">
        <v>202</v>
      </c>
      <c r="B57" s="124"/>
      <c r="C57" s="124"/>
      <c r="D57" s="124"/>
      <c r="E57" s="124"/>
      <c r="F57" s="124">
        <v>4967</v>
      </c>
      <c r="G57" s="124"/>
      <c r="H57" s="124"/>
      <c r="I57" s="129"/>
      <c r="J57" s="124"/>
      <c r="K57" s="124"/>
      <c r="L57" s="124">
        <v>536</v>
      </c>
      <c r="M57" s="124"/>
      <c r="N57" s="124"/>
      <c r="O57" s="124"/>
      <c r="P57" s="124"/>
      <c r="Q57" s="124"/>
    </row>
    <row r="58" spans="1:19" x14ac:dyDescent="0.25">
      <c r="A58" s="120" t="s">
        <v>203</v>
      </c>
      <c r="B58" s="124"/>
      <c r="C58" s="124"/>
      <c r="D58" s="124"/>
      <c r="E58" s="124"/>
      <c r="F58" s="124"/>
      <c r="G58" s="124"/>
      <c r="H58" s="124"/>
      <c r="J58" s="124"/>
      <c r="K58" s="124"/>
      <c r="L58" s="124">
        <v>0</v>
      </c>
      <c r="M58" s="124"/>
      <c r="N58" s="124">
        <v>35000</v>
      </c>
      <c r="O58" s="124"/>
      <c r="P58" s="124">
        <f t="shared" si="11"/>
        <v>35000</v>
      </c>
      <c r="Q58" s="124">
        <f t="shared" si="12"/>
        <v>35000</v>
      </c>
    </row>
    <row r="59" spans="1:19" x14ac:dyDescent="0.25">
      <c r="A59" s="120" t="s">
        <v>204</v>
      </c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>
        <v>18000</v>
      </c>
      <c r="N59" s="124"/>
      <c r="O59" s="124"/>
      <c r="P59" s="124">
        <f t="shared" si="11"/>
        <v>18000</v>
      </c>
      <c r="Q59" s="124"/>
    </row>
    <row r="60" spans="1:19" x14ac:dyDescent="0.25">
      <c r="A60" s="130" t="s">
        <v>205</v>
      </c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25">
        <f t="shared" si="11"/>
        <v>0</v>
      </c>
      <c r="Q60" s="125">
        <f t="shared" ref="Q60" si="13">C60+P60</f>
        <v>0</v>
      </c>
    </row>
    <row r="61" spans="1:19" x14ac:dyDescent="0.25">
      <c r="A61" s="127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7"/>
    </row>
    <row r="62" spans="1:19" s="2" customFormat="1" x14ac:dyDescent="0.25">
      <c r="A62" s="100" t="s">
        <v>206</v>
      </c>
      <c r="B62" s="101">
        <f t="shared" ref="B62:O62" si="14">SUM(B53:B60)</f>
        <v>0</v>
      </c>
      <c r="C62" s="101">
        <f t="shared" si="14"/>
        <v>0</v>
      </c>
      <c r="D62" s="101">
        <f t="shared" si="14"/>
        <v>0</v>
      </c>
      <c r="E62" s="101">
        <f t="shared" si="14"/>
        <v>0</v>
      </c>
      <c r="F62" s="101">
        <f t="shared" si="14"/>
        <v>4967</v>
      </c>
      <c r="G62" s="101">
        <f t="shared" si="14"/>
        <v>0</v>
      </c>
      <c r="H62" s="101">
        <f t="shared" si="14"/>
        <v>0</v>
      </c>
      <c r="I62" s="101">
        <f t="shared" si="14"/>
        <v>0</v>
      </c>
      <c r="J62" s="101">
        <f t="shared" si="14"/>
        <v>0</v>
      </c>
      <c r="K62" s="101">
        <f t="shared" si="14"/>
        <v>0</v>
      </c>
      <c r="L62" s="101">
        <f t="shared" si="14"/>
        <v>536</v>
      </c>
      <c r="M62" s="101">
        <f t="shared" si="14"/>
        <v>39701.06</v>
      </c>
      <c r="N62" s="101">
        <f t="shared" si="14"/>
        <v>35000</v>
      </c>
      <c r="O62" s="101">
        <f t="shared" si="14"/>
        <v>0</v>
      </c>
      <c r="P62" s="101">
        <f t="shared" ref="P62" si="15">SUM(D62:O62)</f>
        <v>80204.06</v>
      </c>
      <c r="Q62" s="101">
        <f>C62+P62</f>
        <v>80204.06</v>
      </c>
      <c r="S62" s="102">
        <f>SUM(P53:P60)</f>
        <v>74701.06</v>
      </c>
    </row>
    <row r="63" spans="1:19" x14ac:dyDescent="0.25">
      <c r="A63" s="120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0"/>
    </row>
    <row r="64" spans="1:19" x14ac:dyDescent="0.25">
      <c r="A64" s="120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0"/>
    </row>
    <row r="65" spans="1:19" s="2" customFormat="1" x14ac:dyDescent="0.25">
      <c r="A65" s="100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1:19" x14ac:dyDescent="0.25">
      <c r="A66" s="120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0"/>
    </row>
    <row r="67" spans="1:19" s="2" customFormat="1" x14ac:dyDescent="0.25">
      <c r="A67" s="100" t="s">
        <v>207</v>
      </c>
      <c r="B67" s="101">
        <f t="shared" ref="B67:P67" si="16">B65+B62+B48+B36+B31+B17</f>
        <v>1018486</v>
      </c>
      <c r="C67" s="101">
        <f t="shared" si="16"/>
        <v>207452</v>
      </c>
      <c r="D67" s="101">
        <f t="shared" si="16"/>
        <v>159386</v>
      </c>
      <c r="E67" s="101">
        <f t="shared" si="16"/>
        <v>244544</v>
      </c>
      <c r="F67" s="101">
        <f t="shared" si="16"/>
        <v>34742</v>
      </c>
      <c r="G67" s="101">
        <f t="shared" si="16"/>
        <v>70101</v>
      </c>
      <c r="H67" s="101">
        <f t="shared" si="16"/>
        <v>254074</v>
      </c>
      <c r="I67" s="101">
        <f t="shared" si="16"/>
        <v>34381</v>
      </c>
      <c r="J67" s="101">
        <f t="shared" si="16"/>
        <v>39352</v>
      </c>
      <c r="K67" s="101">
        <f t="shared" si="16"/>
        <v>38842</v>
      </c>
      <c r="L67" s="101">
        <f t="shared" si="16"/>
        <v>22268</v>
      </c>
      <c r="M67" s="101">
        <f t="shared" si="16"/>
        <v>269965.37</v>
      </c>
      <c r="N67" s="101">
        <f t="shared" si="16"/>
        <v>115190.43</v>
      </c>
      <c r="O67" s="101">
        <f t="shared" si="16"/>
        <v>30934.510000000006</v>
      </c>
      <c r="P67" s="101">
        <f t="shared" si="16"/>
        <v>1313780.31</v>
      </c>
      <c r="Q67" s="101">
        <f>Q62+Q48+Q36+Q31+Q17</f>
        <v>1171270.06</v>
      </c>
      <c r="S67" s="102">
        <f>SUM(D67:O67)</f>
        <v>1313780.31</v>
      </c>
    </row>
    <row r="68" spans="1:19" x14ac:dyDescent="0.25">
      <c r="A68" s="114" t="s">
        <v>208</v>
      </c>
      <c r="B68" s="125"/>
      <c r="C68" s="12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25">
        <f>SUM(D68:O68)</f>
        <v>0</v>
      </c>
      <c r="Q68" s="130"/>
    </row>
    <row r="69" spans="1:19" s="2" customFormat="1" x14ac:dyDescent="0.2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</row>
    <row r="70" spans="1:19" s="2" customFormat="1" x14ac:dyDescent="0.25">
      <c r="A70" s="100" t="s">
        <v>209</v>
      </c>
      <c r="B70" s="117"/>
      <c r="C70" s="117"/>
      <c r="D70" s="101">
        <f t="shared" ref="D70:P70" si="17">D12-D67</f>
        <v>-142251</v>
      </c>
      <c r="E70" s="101">
        <f t="shared" si="17"/>
        <v>-227409</v>
      </c>
      <c r="F70" s="101">
        <f t="shared" si="17"/>
        <v>-17607</v>
      </c>
      <c r="G70" s="101">
        <f t="shared" si="17"/>
        <v>-52966</v>
      </c>
      <c r="H70" s="101">
        <f t="shared" si="17"/>
        <v>-236938</v>
      </c>
      <c r="I70" s="101">
        <f t="shared" si="17"/>
        <v>-17027</v>
      </c>
      <c r="J70" s="101">
        <f t="shared" si="17"/>
        <v>-21998</v>
      </c>
      <c r="K70" s="101">
        <f t="shared" si="17"/>
        <v>-20011</v>
      </c>
      <c r="L70" s="101">
        <f t="shared" si="17"/>
        <v>4801.5</v>
      </c>
      <c r="M70" s="101">
        <f t="shared" si="17"/>
        <v>-236083.37</v>
      </c>
      <c r="N70" s="101">
        <f t="shared" si="17"/>
        <v>-81308.429999999993</v>
      </c>
      <c r="O70" s="101">
        <f t="shared" si="17"/>
        <v>2947.4899999999943</v>
      </c>
      <c r="P70" s="101">
        <f t="shared" si="17"/>
        <v>-1045849.81</v>
      </c>
      <c r="Q70" s="100"/>
      <c r="S70" s="102">
        <f>SUM(D70:O70)</f>
        <v>-1045849.81</v>
      </c>
    </row>
    <row r="71" spans="1:19" x14ac:dyDescent="0.2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</row>
    <row r="72" spans="1:19" s="119" customFormat="1" x14ac:dyDescent="0.25">
      <c r="A72" s="118" t="s">
        <v>90</v>
      </c>
      <c r="B72" s="118"/>
      <c r="C72" s="118"/>
      <c r="D72" s="118"/>
      <c r="E72" s="118"/>
      <c r="F72" s="118"/>
      <c r="G72" s="118">
        <v>5763</v>
      </c>
      <c r="H72" s="118">
        <v>5763</v>
      </c>
      <c r="I72" s="118">
        <v>5763</v>
      </c>
      <c r="J72" s="118">
        <v>5763</v>
      </c>
      <c r="K72" s="118">
        <v>5763</v>
      </c>
      <c r="L72" s="118">
        <v>5763</v>
      </c>
      <c r="M72" s="118">
        <v>0</v>
      </c>
      <c r="N72" s="118">
        <v>0</v>
      </c>
      <c r="O72" s="118">
        <v>0</v>
      </c>
      <c r="P72" s="118">
        <f>SUM(G72:O72)</f>
        <v>34578</v>
      </c>
      <c r="Q72" s="118"/>
    </row>
    <row r="73" spans="1:19" s="119" customFormat="1" x14ac:dyDescent="0.25">
      <c r="A73" s="118" t="s">
        <v>91</v>
      </c>
      <c r="B73" s="118"/>
      <c r="C73" s="118"/>
      <c r="D73" s="118">
        <v>13377</v>
      </c>
      <c r="E73" s="118">
        <v>13377</v>
      </c>
      <c r="F73" s="118">
        <v>13377</v>
      </c>
      <c r="G73" s="118">
        <v>13377</v>
      </c>
      <c r="H73" s="118">
        <v>13377</v>
      </c>
      <c r="I73" s="118">
        <v>13377</v>
      </c>
      <c r="J73" s="118">
        <v>13377</v>
      </c>
      <c r="K73" s="118">
        <v>13377</v>
      </c>
      <c r="L73" s="118">
        <v>13377</v>
      </c>
      <c r="M73" s="118">
        <v>13333.333333333334</v>
      </c>
      <c r="N73" s="118">
        <v>13333.333333333334</v>
      </c>
      <c r="O73" s="118">
        <v>13333.333333333334</v>
      </c>
      <c r="P73" s="118">
        <f>SUM(D73:O73)</f>
        <v>160393.00000000003</v>
      </c>
      <c r="Q73" s="118"/>
    </row>
    <row r="74" spans="1:19" x14ac:dyDescent="0.25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</row>
    <row r="75" spans="1:19" s="119" customFormat="1" x14ac:dyDescent="0.25">
      <c r="A75" s="118" t="s">
        <v>93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>
        <v>0</v>
      </c>
      <c r="N75" s="118">
        <v>0</v>
      </c>
      <c r="O75" s="118">
        <v>0</v>
      </c>
      <c r="P75" s="118"/>
      <c r="Q75" s="118"/>
    </row>
    <row r="76" spans="1:19" s="119" customFormat="1" x14ac:dyDescent="0.25">
      <c r="A76" s="118" t="s">
        <v>210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>
        <f>M70-(M72+M73)-M75</f>
        <v>-249416.70333333334</v>
      </c>
      <c r="N76" s="118">
        <f t="shared" ref="N76:O76" si="18">N70-(N72+N73)-N75</f>
        <v>-94641.763333333321</v>
      </c>
      <c r="O76" s="118">
        <f t="shared" si="18"/>
        <v>-10385.84333333334</v>
      </c>
      <c r="P76" s="118"/>
      <c r="Q76" s="118"/>
    </row>
    <row r="77" spans="1:19" x14ac:dyDescent="0.2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</row>
    <row r="78" spans="1:19" s="17" customFormat="1" x14ac:dyDescent="0.25">
      <c r="A78" s="118" t="s">
        <v>96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18">
        <f>L79</f>
        <v>279597</v>
      </c>
      <c r="N78" s="118">
        <f>M79</f>
        <v>30180.296666666662</v>
      </c>
      <c r="O78" s="118">
        <f>N79</f>
        <v>94124.44</v>
      </c>
      <c r="P78" s="131"/>
      <c r="Q78" s="131"/>
    </row>
    <row r="79" spans="1:19" s="17" customFormat="1" x14ac:dyDescent="0.25">
      <c r="A79" s="118" t="s">
        <v>97</v>
      </c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18">
        <v>279597</v>
      </c>
      <c r="M79" s="118">
        <f>M76+M78</f>
        <v>30180.296666666662</v>
      </c>
      <c r="N79" s="118">
        <v>94124.44</v>
      </c>
      <c r="O79" s="118">
        <v>84180.56</v>
      </c>
      <c r="P79" s="131"/>
      <c r="Q79" s="131"/>
    </row>
    <row r="80" spans="1:19" x14ac:dyDescent="0.25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</row>
    <row r="81" spans="1:1" x14ac:dyDescent="0.25">
      <c r="A81" s="5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39.77734375" style="5" customWidth="1"/>
    <col min="2" max="5" width="10.77734375" style="5" customWidth="1"/>
    <col min="6" max="7" width="8.88671875" style="5"/>
    <col min="8" max="8" width="3.33203125" style="5" customWidth="1"/>
    <col min="9" max="9" width="7.109375" style="5" customWidth="1"/>
    <col min="10" max="10" width="15.77734375" style="5" customWidth="1"/>
    <col min="11" max="23" width="10.77734375" style="5" customWidth="1"/>
    <col min="24" max="16384" width="8.88671875" style="5"/>
  </cols>
  <sheetData>
    <row r="1" spans="1:23" x14ac:dyDescent="0.25">
      <c r="A1" s="141" t="s">
        <v>213</v>
      </c>
      <c r="B1" s="141"/>
      <c r="K1" s="2" t="s">
        <v>214</v>
      </c>
    </row>
    <row r="2" spans="1:23" x14ac:dyDescent="0.25">
      <c r="A2" s="5" t="s">
        <v>215</v>
      </c>
      <c r="B2" s="142">
        <v>5666.67</v>
      </c>
      <c r="D2" s="143">
        <f>B2*12</f>
        <v>68000.040000000008</v>
      </c>
    </row>
    <row r="3" spans="1:23" x14ac:dyDescent="0.25">
      <c r="A3" s="5" t="s">
        <v>216</v>
      </c>
      <c r="B3" s="142">
        <v>5666.67</v>
      </c>
      <c r="D3" s="143">
        <f t="shared" ref="D3:D12" si="0">B3*12</f>
        <v>68000.040000000008</v>
      </c>
    </row>
    <row r="4" spans="1:23" x14ac:dyDescent="0.25">
      <c r="A4" s="5" t="s">
        <v>217</v>
      </c>
      <c r="B4" s="142">
        <v>5666.67</v>
      </c>
      <c r="D4" s="143">
        <f t="shared" si="0"/>
        <v>68000.040000000008</v>
      </c>
      <c r="K4" s="136">
        <v>42370</v>
      </c>
      <c r="L4" s="136">
        <v>42402</v>
      </c>
      <c r="M4" s="136">
        <v>42434</v>
      </c>
      <c r="N4" s="136">
        <v>42466</v>
      </c>
      <c r="O4" s="136">
        <v>42498</v>
      </c>
      <c r="P4" s="136">
        <v>42530</v>
      </c>
      <c r="Q4" s="136">
        <v>42562</v>
      </c>
      <c r="R4" s="136">
        <v>42594</v>
      </c>
      <c r="S4" s="136">
        <v>42626</v>
      </c>
      <c r="T4" s="136">
        <v>42658</v>
      </c>
      <c r="U4" s="136">
        <v>42690</v>
      </c>
      <c r="V4" s="136">
        <v>42722</v>
      </c>
      <c r="W4" s="137" t="s">
        <v>218</v>
      </c>
    </row>
    <row r="5" spans="1:23" x14ac:dyDescent="0.25">
      <c r="A5" s="5" t="s">
        <v>219</v>
      </c>
      <c r="B5" s="142">
        <v>5666.67</v>
      </c>
      <c r="D5" s="143">
        <f t="shared" si="0"/>
        <v>68000.040000000008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5" t="s">
        <v>220</v>
      </c>
      <c r="B6" s="142">
        <v>5666.67</v>
      </c>
      <c r="D6" s="143">
        <f t="shared" si="0"/>
        <v>68000.040000000008</v>
      </c>
    </row>
    <row r="7" spans="1:23" x14ac:dyDescent="0.25">
      <c r="B7" s="142"/>
      <c r="D7" s="143"/>
      <c r="J7" s="5" t="s">
        <v>221</v>
      </c>
      <c r="K7" s="144">
        <v>9137</v>
      </c>
      <c r="L7" s="144"/>
      <c r="M7" s="144"/>
      <c r="N7" s="144">
        <v>9137</v>
      </c>
      <c r="O7" s="144"/>
      <c r="P7" s="144"/>
      <c r="Q7" s="144">
        <v>9137</v>
      </c>
      <c r="R7" s="144"/>
      <c r="S7" s="144"/>
      <c r="T7" s="144"/>
      <c r="U7" s="144"/>
      <c r="V7" s="144"/>
      <c r="W7" s="144">
        <f>SUM(K7:V7)</f>
        <v>27411</v>
      </c>
    </row>
    <row r="8" spans="1:23" x14ac:dyDescent="0.25">
      <c r="A8" s="5" t="s">
        <v>222</v>
      </c>
      <c r="B8" s="142">
        <v>6516.67</v>
      </c>
      <c r="D8" s="143">
        <f t="shared" si="0"/>
        <v>78200.040000000008</v>
      </c>
      <c r="J8" s="5" t="s">
        <v>223</v>
      </c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>
        <f t="shared" ref="W8:W12" si="1">SUM(K8:V8)</f>
        <v>0</v>
      </c>
    </row>
    <row r="9" spans="1:23" x14ac:dyDescent="0.25">
      <c r="A9" s="5" t="s">
        <v>224</v>
      </c>
      <c r="B9" s="142">
        <v>6516.67</v>
      </c>
      <c r="D9" s="143">
        <f t="shared" si="0"/>
        <v>78200.040000000008</v>
      </c>
      <c r="J9" s="5" t="s">
        <v>225</v>
      </c>
      <c r="K9" s="144">
        <v>0</v>
      </c>
      <c r="L9" s="144"/>
      <c r="M9" s="144"/>
      <c r="N9" s="144">
        <v>6282</v>
      </c>
      <c r="O9" s="144"/>
      <c r="P9" s="144"/>
      <c r="Q9" s="144">
        <v>6282</v>
      </c>
      <c r="R9" s="144"/>
      <c r="S9" s="144"/>
      <c r="T9" s="144"/>
      <c r="U9" s="144"/>
      <c r="V9" s="144"/>
      <c r="W9" s="144">
        <f t="shared" si="1"/>
        <v>12564</v>
      </c>
    </row>
    <row r="10" spans="1:23" x14ac:dyDescent="0.25">
      <c r="A10" s="5" t="s">
        <v>226</v>
      </c>
      <c r="B10" s="142">
        <v>6516.67</v>
      </c>
      <c r="D10" s="143">
        <f t="shared" si="0"/>
        <v>78200.040000000008</v>
      </c>
      <c r="J10" s="5" t="s">
        <v>281</v>
      </c>
      <c r="K10" s="144"/>
      <c r="L10" s="144"/>
      <c r="M10" s="144"/>
      <c r="N10" s="144"/>
      <c r="O10" s="144">
        <f>D53</f>
        <v>4204.8355000000001</v>
      </c>
      <c r="P10" s="144"/>
      <c r="Q10" s="144"/>
      <c r="R10" s="144"/>
      <c r="S10" s="144"/>
      <c r="T10" s="144">
        <v>0</v>
      </c>
      <c r="U10" s="144">
        <f>D54</f>
        <v>4204.8355000000001</v>
      </c>
      <c r="V10" s="144"/>
      <c r="W10" s="144">
        <f t="shared" si="1"/>
        <v>8409.6710000000003</v>
      </c>
    </row>
    <row r="11" spans="1:23" x14ac:dyDescent="0.25">
      <c r="A11" s="5" t="s">
        <v>227</v>
      </c>
      <c r="B11" s="142">
        <v>6516.67</v>
      </c>
      <c r="D11" s="143">
        <f t="shared" si="0"/>
        <v>78200.040000000008</v>
      </c>
      <c r="J11" s="5" t="s">
        <v>282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f>D70</f>
        <v>1773.9150025162505</v>
      </c>
      <c r="Q11" s="144">
        <v>0</v>
      </c>
      <c r="R11" s="144">
        <v>0</v>
      </c>
      <c r="S11" s="144"/>
      <c r="T11" s="144">
        <f>D71</f>
        <v>1773.9150025162505</v>
      </c>
      <c r="U11" s="144"/>
      <c r="V11" s="144">
        <f>D72</f>
        <v>1773.9150025162505</v>
      </c>
      <c r="W11" s="144">
        <f t="shared" si="1"/>
        <v>5321.7450075487513</v>
      </c>
    </row>
    <row r="12" spans="1:23" ht="17.25" x14ac:dyDescent="0.4">
      <c r="A12" s="5" t="s">
        <v>229</v>
      </c>
      <c r="B12" s="142">
        <v>6516.67</v>
      </c>
      <c r="D12" s="138">
        <f t="shared" si="0"/>
        <v>78200.040000000008</v>
      </c>
      <c r="J12" s="5" t="s">
        <v>228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f>D73</f>
        <v>1773.9150025162505</v>
      </c>
      <c r="W12" s="144">
        <f t="shared" si="1"/>
        <v>1773.9150025162505</v>
      </c>
    </row>
    <row r="13" spans="1:23" x14ac:dyDescent="0.25">
      <c r="B13" s="142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</row>
    <row r="14" spans="1:23" x14ac:dyDescent="0.25">
      <c r="A14" s="5" t="s">
        <v>231</v>
      </c>
      <c r="B14" s="142"/>
      <c r="D14" s="143">
        <f>SUM(D2:D12)</f>
        <v>731000.40000000026</v>
      </c>
      <c r="J14" s="5" t="s">
        <v>230</v>
      </c>
      <c r="K14" s="144">
        <f t="shared" ref="K14:W14" si="2">SUM(K7:K12)</f>
        <v>9137</v>
      </c>
      <c r="L14" s="144">
        <f t="shared" si="2"/>
        <v>0</v>
      </c>
      <c r="M14" s="144">
        <f t="shared" si="2"/>
        <v>0</v>
      </c>
      <c r="N14" s="144">
        <f t="shared" si="2"/>
        <v>15419</v>
      </c>
      <c r="O14" s="144">
        <f t="shared" si="2"/>
        <v>4204.8355000000001</v>
      </c>
      <c r="P14" s="144">
        <f t="shared" si="2"/>
        <v>1773.9150025162505</v>
      </c>
      <c r="Q14" s="144">
        <f t="shared" si="2"/>
        <v>15419</v>
      </c>
      <c r="R14" s="144">
        <f t="shared" si="2"/>
        <v>0</v>
      </c>
      <c r="S14" s="144">
        <f t="shared" si="2"/>
        <v>0</v>
      </c>
      <c r="T14" s="144">
        <f t="shared" si="2"/>
        <v>1773.9150025162505</v>
      </c>
      <c r="U14" s="144">
        <f t="shared" si="2"/>
        <v>4204.8355000000001</v>
      </c>
      <c r="V14" s="144">
        <f t="shared" si="2"/>
        <v>3547.830005032501</v>
      </c>
      <c r="W14" s="144">
        <f t="shared" si="2"/>
        <v>55480.331010065005</v>
      </c>
    </row>
    <row r="15" spans="1:23" x14ac:dyDescent="0.25">
      <c r="A15" s="5" t="s">
        <v>232</v>
      </c>
      <c r="B15" s="142"/>
      <c r="D15" s="143">
        <f>D14*0.05</f>
        <v>36550.020000000011</v>
      </c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</row>
    <row r="16" spans="1:23" x14ac:dyDescent="0.25">
      <c r="A16" s="5" t="s">
        <v>233</v>
      </c>
      <c r="B16" s="142"/>
      <c r="D16" s="143">
        <f>D15*0.25</f>
        <v>9137.5050000000028</v>
      </c>
      <c r="E16" s="145">
        <v>42303</v>
      </c>
    </row>
    <row r="17" spans="1:5" x14ac:dyDescent="0.25">
      <c r="A17" s="146" t="s">
        <v>234</v>
      </c>
      <c r="B17" s="142"/>
      <c r="D17" s="143">
        <f>D15*0.25</f>
        <v>9137.5050000000028</v>
      </c>
      <c r="E17" s="145">
        <v>42395</v>
      </c>
    </row>
    <row r="18" spans="1:5" x14ac:dyDescent="0.25">
      <c r="A18" s="5" t="s">
        <v>235</v>
      </c>
      <c r="B18" s="142"/>
      <c r="D18" s="143">
        <f>D15*0.25</f>
        <v>9137.5050000000028</v>
      </c>
      <c r="E18" s="145">
        <v>42486</v>
      </c>
    </row>
    <row r="19" spans="1:5" x14ac:dyDescent="0.25">
      <c r="A19" s="5" t="s">
        <v>236</v>
      </c>
      <c r="B19" s="142"/>
      <c r="D19" s="143">
        <f>D15*0.25</f>
        <v>9137.5050000000028</v>
      </c>
      <c r="E19" s="145">
        <v>42577</v>
      </c>
    </row>
    <row r="20" spans="1:5" x14ac:dyDescent="0.25">
      <c r="B20" s="142"/>
      <c r="D20" s="143"/>
    </row>
    <row r="21" spans="1:5" x14ac:dyDescent="0.25">
      <c r="B21" s="142"/>
      <c r="D21" s="143"/>
    </row>
    <row r="22" spans="1:5" x14ac:dyDescent="0.25">
      <c r="A22" s="174" t="s">
        <v>237</v>
      </c>
      <c r="B22" s="174"/>
      <c r="D22" s="143"/>
    </row>
    <row r="23" spans="1:5" x14ac:dyDescent="0.25">
      <c r="A23" s="174"/>
      <c r="B23" s="174"/>
      <c r="D23" s="143"/>
    </row>
    <row r="24" spans="1:5" x14ac:dyDescent="0.25">
      <c r="A24" s="5" t="s">
        <v>238</v>
      </c>
      <c r="B24" s="142">
        <f>47300*5</f>
        <v>236500</v>
      </c>
      <c r="D24" s="143"/>
    </row>
    <row r="25" spans="1:5" x14ac:dyDescent="0.25">
      <c r="A25" s="5" t="s">
        <v>239</v>
      </c>
      <c r="B25" s="142">
        <f>53212.5*5</f>
        <v>266062.5</v>
      </c>
      <c r="D25" s="143"/>
    </row>
    <row r="26" spans="1:5" ht="15.75" thickBot="1" x14ac:dyDescent="0.3">
      <c r="B26" s="147">
        <f>SUM(B24:B25)</f>
        <v>502562.5</v>
      </c>
      <c r="D26" s="143"/>
    </row>
    <row r="27" spans="1:5" ht="15.75" thickTop="1" x14ac:dyDescent="0.25">
      <c r="B27" s="142"/>
    </row>
    <row r="28" spans="1:5" x14ac:dyDescent="0.25">
      <c r="A28" s="5" t="s">
        <v>240</v>
      </c>
      <c r="B28" s="142">
        <f>B26*5%</f>
        <v>25128.125</v>
      </c>
    </row>
    <row r="29" spans="1:5" x14ac:dyDescent="0.25">
      <c r="B29" s="142"/>
    </row>
    <row r="30" spans="1:5" x14ac:dyDescent="0.25">
      <c r="A30" s="5" t="s">
        <v>241</v>
      </c>
      <c r="B30" s="142">
        <v>12564.06</v>
      </c>
      <c r="E30" s="145">
        <v>42280</v>
      </c>
    </row>
    <row r="31" spans="1:5" x14ac:dyDescent="0.25">
      <c r="A31" s="5" t="s">
        <v>242</v>
      </c>
      <c r="B31" s="142">
        <v>6282.03</v>
      </c>
      <c r="E31" s="145">
        <v>42463</v>
      </c>
    </row>
    <row r="32" spans="1:5" x14ac:dyDescent="0.25">
      <c r="A32" s="5" t="s">
        <v>243</v>
      </c>
      <c r="B32" s="142">
        <v>6282.03</v>
      </c>
      <c r="E32" s="145">
        <v>42554</v>
      </c>
    </row>
    <row r="33" spans="1:8" s="2" customFormat="1" ht="15.75" thickBot="1" x14ac:dyDescent="0.3">
      <c r="A33" s="5"/>
      <c r="B33" s="147">
        <f>SUM(B30:B32)</f>
        <v>25128.12</v>
      </c>
    </row>
    <row r="34" spans="1:8" ht="15.75" thickTop="1" x14ac:dyDescent="0.25"/>
    <row r="35" spans="1:8" x14ac:dyDescent="0.25">
      <c r="A35" s="2" t="s">
        <v>244</v>
      </c>
      <c r="B35" s="2"/>
      <c r="C35" s="2"/>
      <c r="D35" s="2"/>
      <c r="E35" s="2"/>
      <c r="F35" s="2"/>
      <c r="G35" s="2"/>
      <c r="H35" s="2"/>
    </row>
    <row r="36" spans="1:8" s="2" customFormat="1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 t="s">
        <v>245</v>
      </c>
      <c r="D37" s="143">
        <v>6282.03</v>
      </c>
      <c r="E37" s="145">
        <v>42280</v>
      </c>
    </row>
    <row r="38" spans="1:8" x14ac:dyDescent="0.25">
      <c r="A38" s="5" t="s">
        <v>246</v>
      </c>
      <c r="D38" s="143">
        <v>6282.03</v>
      </c>
      <c r="E38" s="145">
        <v>42372</v>
      </c>
    </row>
    <row r="39" spans="1:8" x14ac:dyDescent="0.25">
      <c r="A39" s="5" t="s">
        <v>247</v>
      </c>
      <c r="D39" s="143">
        <v>6282.03</v>
      </c>
      <c r="E39" s="145">
        <v>42463</v>
      </c>
    </row>
    <row r="40" spans="1:8" x14ac:dyDescent="0.25">
      <c r="A40" s="5" t="s">
        <v>248</v>
      </c>
      <c r="D40" s="143">
        <v>6282.03</v>
      </c>
      <c r="E40" s="145">
        <v>42554</v>
      </c>
    </row>
    <row r="41" spans="1:8" x14ac:dyDescent="0.25">
      <c r="D41" s="143"/>
      <c r="E41" s="148"/>
    </row>
    <row r="42" spans="1:8" x14ac:dyDescent="0.25">
      <c r="A42" s="2" t="s">
        <v>286</v>
      </c>
      <c r="B42" s="2" t="s">
        <v>249</v>
      </c>
      <c r="C42" s="2"/>
      <c r="D42" s="139"/>
      <c r="E42" s="140"/>
      <c r="F42" s="2"/>
      <c r="G42" s="2"/>
      <c r="H42" s="2"/>
    </row>
    <row r="43" spans="1:8" x14ac:dyDescent="0.25">
      <c r="D43" s="143"/>
      <c r="E43" s="148"/>
    </row>
    <row r="44" spans="1:8" x14ac:dyDescent="0.25">
      <c r="A44" s="5" t="s">
        <v>272</v>
      </c>
      <c r="B44" s="142">
        <v>31680</v>
      </c>
    </row>
    <row r="45" spans="1:8" x14ac:dyDescent="0.25">
      <c r="A45" s="5" t="s">
        <v>273</v>
      </c>
      <c r="B45" s="142">
        <v>32630.400000000001</v>
      </c>
    </row>
    <row r="46" spans="1:8" x14ac:dyDescent="0.25">
      <c r="A46" s="5" t="s">
        <v>274</v>
      </c>
      <c r="B46" s="142">
        <v>33609.31</v>
      </c>
    </row>
    <row r="47" spans="1:8" x14ac:dyDescent="0.25">
      <c r="A47" s="5" t="s">
        <v>275</v>
      </c>
      <c r="B47" s="142">
        <v>34617.589999999997</v>
      </c>
    </row>
    <row r="48" spans="1:8" ht="17.25" x14ac:dyDescent="0.4">
      <c r="A48" s="5" t="s">
        <v>276</v>
      </c>
      <c r="B48" s="164">
        <v>35656.120000000003</v>
      </c>
      <c r="D48" s="143"/>
      <c r="E48" s="145"/>
    </row>
    <row r="49" spans="1:14" x14ac:dyDescent="0.25">
      <c r="A49" s="5" t="s">
        <v>277</v>
      </c>
      <c r="B49" s="142">
        <f>SUM(B44:B48)</f>
        <v>168193.41999999998</v>
      </c>
      <c r="D49" s="143"/>
      <c r="E49" s="145"/>
    </row>
    <row r="51" spans="1:14" x14ac:dyDescent="0.25">
      <c r="A51" s="5" t="s">
        <v>278</v>
      </c>
      <c r="B51" s="143">
        <f>B49*0.05</f>
        <v>8409.6710000000003</v>
      </c>
    </row>
    <row r="53" spans="1:14" x14ac:dyDescent="0.25">
      <c r="A53" s="5" t="s">
        <v>283</v>
      </c>
      <c r="D53" s="143">
        <f>B$51/2</f>
        <v>4204.8355000000001</v>
      </c>
      <c r="E53" s="145">
        <v>42507</v>
      </c>
      <c r="F53" s="5" t="s">
        <v>251</v>
      </c>
      <c r="M53" s="148"/>
      <c r="N53" s="148"/>
    </row>
    <row r="54" spans="1:14" x14ac:dyDescent="0.25">
      <c r="A54" s="5" t="s">
        <v>284</v>
      </c>
      <c r="D54" s="143">
        <f>B$51/2</f>
        <v>4204.8355000000001</v>
      </c>
      <c r="E54" s="145">
        <v>42690</v>
      </c>
      <c r="F54" s="5" t="s">
        <v>251</v>
      </c>
      <c r="M54" s="167"/>
    </row>
    <row r="55" spans="1:14" x14ac:dyDescent="0.25">
      <c r="M55" s="167"/>
    </row>
    <row r="56" spans="1:14" x14ac:dyDescent="0.25">
      <c r="A56" s="2" t="s">
        <v>279</v>
      </c>
      <c r="M56" s="167"/>
    </row>
    <row r="57" spans="1:14" x14ac:dyDescent="0.25">
      <c r="M57" s="167"/>
    </row>
    <row r="58" spans="1:14" x14ac:dyDescent="0.25">
      <c r="A58" s="5" t="s">
        <v>280</v>
      </c>
      <c r="B58" s="5">
        <v>1215</v>
      </c>
      <c r="M58" s="167"/>
    </row>
    <row r="59" spans="1:14" x14ac:dyDescent="0.25">
      <c r="A59" s="5" t="s">
        <v>135</v>
      </c>
      <c r="B59" s="142">
        <v>22</v>
      </c>
      <c r="M59" s="167"/>
      <c r="N59" s="167"/>
    </row>
    <row r="61" spans="1:14" x14ac:dyDescent="0.25">
      <c r="A61" s="5" t="s">
        <v>272</v>
      </c>
      <c r="B61" s="142">
        <f>B58*B59</f>
        <v>26730</v>
      </c>
    </row>
    <row r="62" spans="1:14" x14ac:dyDescent="0.25">
      <c r="A62" s="5" t="s">
        <v>273</v>
      </c>
      <c r="B62" s="142">
        <f>B61*1.03</f>
        <v>27531.9</v>
      </c>
    </row>
    <row r="63" spans="1:14" x14ac:dyDescent="0.25">
      <c r="A63" s="5" t="s">
        <v>274</v>
      </c>
      <c r="B63" s="142">
        <f t="shared" ref="B63:B65" si="3">B62*1.03</f>
        <v>28357.857000000004</v>
      </c>
    </row>
    <row r="64" spans="1:14" x14ac:dyDescent="0.25">
      <c r="A64" s="5" t="s">
        <v>275</v>
      </c>
      <c r="B64" s="142">
        <f t="shared" si="3"/>
        <v>29208.592710000004</v>
      </c>
    </row>
    <row r="65" spans="1:11" ht="17.25" x14ac:dyDescent="0.4">
      <c r="A65" s="5" t="s">
        <v>276</v>
      </c>
      <c r="B65" s="164">
        <f t="shared" si="3"/>
        <v>30084.850491300007</v>
      </c>
      <c r="D65" s="143"/>
      <c r="E65" s="145"/>
    </row>
    <row r="66" spans="1:11" x14ac:dyDescent="0.25">
      <c r="A66" s="5" t="s">
        <v>277</v>
      </c>
      <c r="B66" s="142">
        <f>SUM(B61:B65)</f>
        <v>141913.20020130003</v>
      </c>
      <c r="D66" s="143"/>
      <c r="E66" s="145"/>
    </row>
    <row r="68" spans="1:11" x14ac:dyDescent="0.25">
      <c r="A68" s="5" t="s">
        <v>278</v>
      </c>
      <c r="B68" s="143">
        <f>B66*0.05</f>
        <v>7095.6600100650021</v>
      </c>
    </row>
    <row r="70" spans="1:11" x14ac:dyDescent="0.25">
      <c r="A70" s="5" t="s">
        <v>250</v>
      </c>
      <c r="D70" s="143">
        <f>B$68/4</f>
        <v>1773.9150025162505</v>
      </c>
      <c r="E70" s="145">
        <v>42673</v>
      </c>
      <c r="F70" s="5" t="s">
        <v>251</v>
      </c>
      <c r="J70" s="148"/>
      <c r="K70" s="148"/>
    </row>
    <row r="71" spans="1:11" x14ac:dyDescent="0.25">
      <c r="A71" s="5" t="s">
        <v>252</v>
      </c>
      <c r="D71" s="143">
        <f t="shared" ref="D71:D73" si="4">B$68/4</f>
        <v>1773.9150025162505</v>
      </c>
      <c r="E71" s="145">
        <f>E70+45</f>
        <v>42718</v>
      </c>
      <c r="F71" s="5" t="s">
        <v>251</v>
      </c>
      <c r="K71" s="148"/>
    </row>
    <row r="72" spans="1:11" x14ac:dyDescent="0.25">
      <c r="A72" s="5" t="s">
        <v>253</v>
      </c>
      <c r="D72" s="143">
        <f t="shared" si="4"/>
        <v>1773.9150025162505</v>
      </c>
      <c r="E72" s="145">
        <f>E71+45</f>
        <v>42763</v>
      </c>
      <c r="F72" s="5" t="s">
        <v>251</v>
      </c>
      <c r="K72" s="148"/>
    </row>
    <row r="73" spans="1:11" x14ac:dyDescent="0.25">
      <c r="A73" s="5" t="s">
        <v>254</v>
      </c>
      <c r="D73" s="143">
        <f t="shared" si="4"/>
        <v>1773.9150025162505</v>
      </c>
      <c r="E73" s="145">
        <f>E72+45</f>
        <v>42808</v>
      </c>
      <c r="F73" s="5" t="s">
        <v>251</v>
      </c>
      <c r="K73" s="148"/>
    </row>
    <row r="75" spans="1:11" x14ac:dyDescent="0.25">
      <c r="A75" s="2" t="s">
        <v>255</v>
      </c>
      <c r="B75" s="2" t="s">
        <v>256</v>
      </c>
      <c r="C75" s="2"/>
      <c r="D75" s="139"/>
      <c r="E75" s="140"/>
      <c r="F75" s="2"/>
      <c r="G75" s="2"/>
      <c r="H75" s="2"/>
    </row>
    <row r="76" spans="1:11" x14ac:dyDescent="0.25">
      <c r="D76" s="143"/>
      <c r="E76" s="148"/>
    </row>
    <row r="77" spans="1:11" x14ac:dyDescent="0.25">
      <c r="A77" s="5" t="s">
        <v>280</v>
      </c>
      <c r="B77" s="5">
        <v>1215</v>
      </c>
    </row>
    <row r="78" spans="1:11" x14ac:dyDescent="0.25">
      <c r="A78" s="5" t="s">
        <v>135</v>
      </c>
      <c r="B78" s="142">
        <v>22</v>
      </c>
    </row>
    <row r="80" spans="1:11" x14ac:dyDescent="0.25">
      <c r="A80" s="5" t="s">
        <v>272</v>
      </c>
      <c r="B80" s="142">
        <f>B77*B78</f>
        <v>26730</v>
      </c>
      <c r="C80" s="143"/>
    </row>
    <row r="81" spans="1:11" x14ac:dyDescent="0.25">
      <c r="A81" s="5" t="s">
        <v>273</v>
      </c>
      <c r="B81" s="142">
        <f>B80*1.03</f>
        <v>27531.9</v>
      </c>
    </row>
    <row r="82" spans="1:11" x14ac:dyDescent="0.25">
      <c r="A82" s="5" t="s">
        <v>274</v>
      </c>
      <c r="B82" s="142">
        <f t="shared" ref="B82:B84" si="5">B81*1.03</f>
        <v>28357.857000000004</v>
      </c>
    </row>
    <row r="83" spans="1:11" x14ac:dyDescent="0.25">
      <c r="A83" s="5" t="s">
        <v>275</v>
      </c>
      <c r="B83" s="142">
        <f t="shared" si="5"/>
        <v>29208.592710000004</v>
      </c>
    </row>
    <row r="84" spans="1:11" ht="17.25" x14ac:dyDescent="0.4">
      <c r="A84" s="5" t="s">
        <v>276</v>
      </c>
      <c r="B84" s="164">
        <f t="shared" si="5"/>
        <v>30084.850491300007</v>
      </c>
      <c r="D84" s="143"/>
      <c r="E84" s="145"/>
    </row>
    <row r="85" spans="1:11" x14ac:dyDescent="0.25">
      <c r="A85" s="5" t="s">
        <v>277</v>
      </c>
      <c r="B85" s="142">
        <f>SUM(B80:B84)</f>
        <v>141913.20020130003</v>
      </c>
      <c r="D85" s="143"/>
      <c r="E85" s="145"/>
    </row>
    <row r="87" spans="1:11" x14ac:dyDescent="0.25">
      <c r="A87" s="5" t="s">
        <v>278</v>
      </c>
      <c r="B87" s="143">
        <f>B85*0.05</f>
        <v>7095.6600100650021</v>
      </c>
    </row>
    <row r="89" spans="1:11" x14ac:dyDescent="0.25">
      <c r="A89" s="5" t="s">
        <v>250</v>
      </c>
      <c r="D89" s="143">
        <f>B$87/4</f>
        <v>1773.9150025162505</v>
      </c>
      <c r="E89" s="145">
        <v>42720</v>
      </c>
      <c r="F89" s="5" t="s">
        <v>251</v>
      </c>
      <c r="K89" s="167"/>
    </row>
    <row r="90" spans="1:11" x14ac:dyDescent="0.25">
      <c r="A90" s="5" t="s">
        <v>252</v>
      </c>
      <c r="D90" s="143">
        <f t="shared" ref="D90:D92" si="6">B$87/4</f>
        <v>1773.9150025162505</v>
      </c>
      <c r="E90" s="145">
        <f>E89+45</f>
        <v>42765</v>
      </c>
      <c r="F90" s="5" t="s">
        <v>251</v>
      </c>
      <c r="K90" s="167"/>
    </row>
    <row r="91" spans="1:11" x14ac:dyDescent="0.25">
      <c r="A91" s="5" t="s">
        <v>253</v>
      </c>
      <c r="D91" s="143">
        <f t="shared" si="6"/>
        <v>1773.9150025162505</v>
      </c>
      <c r="E91" s="145">
        <f>E90+45</f>
        <v>42810</v>
      </c>
      <c r="F91" s="5" t="s">
        <v>251</v>
      </c>
    </row>
    <row r="92" spans="1:11" x14ac:dyDescent="0.25">
      <c r="A92" s="5" t="s">
        <v>254</v>
      </c>
      <c r="D92" s="143">
        <f t="shared" si="6"/>
        <v>1773.9150025162505</v>
      </c>
      <c r="E92" s="145">
        <f>E91+45</f>
        <v>42855</v>
      </c>
      <c r="F92" s="5" t="s">
        <v>251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9" sqref="F9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121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13500</v>
      </c>
      <c r="E6" s="55">
        <v>13500</v>
      </c>
      <c r="F6" s="55">
        <v>13500</v>
      </c>
      <c r="G6" s="55">
        <v>13500</v>
      </c>
      <c r="H6" s="55">
        <v>13500</v>
      </c>
      <c r="I6" s="55">
        <v>13500</v>
      </c>
      <c r="J6" s="55">
        <v>13500</v>
      </c>
      <c r="K6" s="55">
        <v>13500</v>
      </c>
      <c r="L6" s="55">
        <v>13500</v>
      </c>
      <c r="M6" s="55">
        <v>13500</v>
      </c>
      <c r="N6" s="55">
        <v>13500</v>
      </c>
      <c r="O6" s="55">
        <v>13500</v>
      </c>
      <c r="P6" s="55">
        <f>SUM(D6:O6)</f>
        <v>162000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3941</v>
      </c>
      <c r="N7" s="17">
        <v>3941</v>
      </c>
      <c r="O7" s="17">
        <v>3941</v>
      </c>
      <c r="P7" s="17">
        <f t="shared" ref="P7:P13" si="0">SUM(D7:O7)</f>
        <v>11823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1687</v>
      </c>
      <c r="L8" s="55">
        <v>2417</v>
      </c>
      <c r="M8" s="55">
        <v>2417</v>
      </c>
      <c r="N8" s="55">
        <v>2417</v>
      </c>
      <c r="O8" s="55">
        <v>2417</v>
      </c>
      <c r="P8" s="55">
        <f t="shared" si="0"/>
        <v>11355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2833.5</v>
      </c>
      <c r="M10" s="55">
        <v>5667</v>
      </c>
      <c r="N10" s="55">
        <v>5667</v>
      </c>
      <c r="O10" s="55">
        <v>5667</v>
      </c>
      <c r="P10" s="55">
        <f t="shared" si="0"/>
        <v>19834.5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124</v>
      </c>
      <c r="B16" s="57"/>
      <c r="C16" s="58"/>
      <c r="D16" s="59">
        <f t="shared" ref="D16:M16" si="1">SUM(D6:D15)</f>
        <v>13500</v>
      </c>
      <c r="E16" s="59">
        <f t="shared" si="1"/>
        <v>13500</v>
      </c>
      <c r="F16" s="59">
        <f t="shared" si="1"/>
        <v>13500</v>
      </c>
      <c r="G16" s="59">
        <f t="shared" si="1"/>
        <v>13500</v>
      </c>
      <c r="H16" s="59">
        <f t="shared" si="1"/>
        <v>13500</v>
      </c>
      <c r="I16" s="59">
        <f t="shared" si="1"/>
        <v>13500</v>
      </c>
      <c r="J16" s="59">
        <f t="shared" si="1"/>
        <v>13500</v>
      </c>
      <c r="K16" s="59">
        <f t="shared" si="1"/>
        <v>15187</v>
      </c>
      <c r="L16" s="59">
        <f t="shared" si="1"/>
        <v>18750.5</v>
      </c>
      <c r="M16" s="59">
        <f t="shared" si="1"/>
        <v>25525</v>
      </c>
      <c r="N16" s="59">
        <f t="shared" ref="N16:O16" si="2">SUM(N6:N15)</f>
        <v>25525</v>
      </c>
      <c r="O16" s="59">
        <f t="shared" si="2"/>
        <v>25525</v>
      </c>
      <c r="P16" s="59">
        <f>SUM(D16:O16)</f>
        <v>205012.5</v>
      </c>
      <c r="Q16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J10" sqref="J10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130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f>SUM(D6:O6)</f>
        <v>0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219</v>
      </c>
      <c r="E7" s="17">
        <v>219</v>
      </c>
      <c r="F7" s="17">
        <v>219</v>
      </c>
      <c r="G7" s="17">
        <v>219</v>
      </c>
      <c r="H7" s="17">
        <v>219</v>
      </c>
      <c r="I7" s="17">
        <v>438</v>
      </c>
      <c r="J7" s="17">
        <v>438</v>
      </c>
      <c r="K7" s="17">
        <v>438</v>
      </c>
      <c r="L7" s="17">
        <v>438</v>
      </c>
      <c r="M7" s="17">
        <v>438</v>
      </c>
      <c r="N7" s="17">
        <v>438</v>
      </c>
      <c r="O7" s="17">
        <v>438</v>
      </c>
      <c r="P7" s="17">
        <f t="shared" ref="P7:P13" si="0">SUM(D7:O7)</f>
        <v>4161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364</v>
      </c>
      <c r="L8" s="55">
        <v>364</v>
      </c>
      <c r="M8" s="55">
        <v>364</v>
      </c>
      <c r="N8" s="55">
        <v>364</v>
      </c>
      <c r="O8" s="55">
        <v>364</v>
      </c>
      <c r="P8" s="55">
        <f t="shared" si="0"/>
        <v>1820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297</v>
      </c>
      <c r="L9" s="17">
        <v>297</v>
      </c>
      <c r="M9" s="17">
        <v>297</v>
      </c>
      <c r="N9" s="17">
        <v>297</v>
      </c>
      <c r="O9" s="17">
        <v>297</v>
      </c>
      <c r="P9" s="17">
        <f t="shared" si="0"/>
        <v>1485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1047</v>
      </c>
      <c r="M10" s="55">
        <v>1047</v>
      </c>
      <c r="N10" s="55">
        <v>1047</v>
      </c>
      <c r="O10" s="55">
        <v>1047</v>
      </c>
      <c r="P10" s="55">
        <f t="shared" si="0"/>
        <v>4188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2</v>
      </c>
      <c r="B16" s="57"/>
      <c r="C16" s="58"/>
      <c r="D16" s="59">
        <f t="shared" ref="D16:M16" si="1">SUM(D6:D15)</f>
        <v>219</v>
      </c>
      <c r="E16" s="59">
        <f t="shared" si="1"/>
        <v>219</v>
      </c>
      <c r="F16" s="59">
        <f t="shared" si="1"/>
        <v>219</v>
      </c>
      <c r="G16" s="59">
        <f t="shared" si="1"/>
        <v>219</v>
      </c>
      <c r="H16" s="59">
        <f t="shared" si="1"/>
        <v>219</v>
      </c>
      <c r="I16" s="59">
        <f t="shared" si="1"/>
        <v>438</v>
      </c>
      <c r="J16" s="59">
        <f t="shared" si="1"/>
        <v>438</v>
      </c>
      <c r="K16" s="59">
        <f t="shared" si="1"/>
        <v>1099</v>
      </c>
      <c r="L16" s="59">
        <f t="shared" si="1"/>
        <v>2146</v>
      </c>
      <c r="M16" s="59">
        <f t="shared" si="1"/>
        <v>2146</v>
      </c>
      <c r="N16" s="59">
        <f t="shared" ref="N16:O16" si="2">SUM(N6:N15)</f>
        <v>2146</v>
      </c>
      <c r="O16" s="59">
        <f t="shared" si="2"/>
        <v>2146</v>
      </c>
      <c r="P16" s="59">
        <f>SUM(D16:O16)</f>
        <v>11654</v>
      </c>
      <c r="Q16" s="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9" sqref="E9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154</v>
      </c>
    </row>
    <row r="2" spans="1:19" x14ac:dyDescent="0.25">
      <c r="A2" s="2" t="s">
        <v>131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157</v>
      </c>
      <c r="B6" s="28" t="s">
        <v>156</v>
      </c>
      <c r="C6" s="54">
        <v>9384</v>
      </c>
      <c r="D6" s="55">
        <v>3087</v>
      </c>
      <c r="E6" s="55">
        <v>3087</v>
      </c>
      <c r="F6" s="55">
        <v>3087</v>
      </c>
      <c r="G6" s="55">
        <v>3087</v>
      </c>
      <c r="H6" s="55">
        <v>3181</v>
      </c>
      <c r="I6" s="55">
        <v>3180</v>
      </c>
      <c r="J6" s="55">
        <v>3180</v>
      </c>
      <c r="K6" s="55">
        <v>1448</v>
      </c>
      <c r="L6" s="55">
        <v>5782</v>
      </c>
      <c r="M6" s="55">
        <v>3180</v>
      </c>
      <c r="N6" s="55">
        <v>3180</v>
      </c>
      <c r="O6" s="55">
        <v>3180</v>
      </c>
      <c r="P6" s="55">
        <f>SUM(D6:O6)</f>
        <v>38659</v>
      </c>
      <c r="Q6" s="55"/>
    </row>
    <row r="7" spans="1:19" x14ac:dyDescent="0.25">
      <c r="A7" s="5" t="s">
        <v>158</v>
      </c>
      <c r="B7" s="6" t="s">
        <v>156</v>
      </c>
      <c r="C7" s="16">
        <v>2150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682</v>
      </c>
      <c r="N7" s="17">
        <v>682</v>
      </c>
      <c r="O7" s="17">
        <v>682</v>
      </c>
      <c r="P7" s="17">
        <f t="shared" ref="P7:P13" si="0">SUM(D7:O7)</f>
        <v>2046</v>
      </c>
    </row>
    <row r="8" spans="1:19" s="27" customFormat="1" x14ac:dyDescent="0.25">
      <c r="A8" s="27" t="s">
        <v>159</v>
      </c>
      <c r="B8" s="28" t="s">
        <v>156</v>
      </c>
      <c r="C8" s="54">
        <v>1393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450</v>
      </c>
      <c r="N8" s="55">
        <v>450</v>
      </c>
      <c r="O8" s="55">
        <v>450</v>
      </c>
      <c r="P8" s="55">
        <f t="shared" si="0"/>
        <v>1350</v>
      </c>
      <c r="Q8" s="55"/>
    </row>
    <row r="9" spans="1:19" x14ac:dyDescent="0.25">
      <c r="A9" s="5" t="s">
        <v>160</v>
      </c>
      <c r="B9" s="6" t="s">
        <v>156</v>
      </c>
      <c r="C9" s="16">
        <v>1220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368</v>
      </c>
      <c r="N9" s="17">
        <v>368</v>
      </c>
      <c r="O9" s="17">
        <v>368</v>
      </c>
      <c r="P9" s="17">
        <f t="shared" si="0"/>
        <v>1104</v>
      </c>
    </row>
    <row r="10" spans="1:19" s="27" customFormat="1" x14ac:dyDescent="0.25">
      <c r="A10" s="27" t="s">
        <v>161</v>
      </c>
      <c r="B10" s="28" t="s">
        <v>156</v>
      </c>
      <c r="C10" s="54">
        <v>4000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1295</v>
      </c>
      <c r="N10" s="55">
        <v>1295</v>
      </c>
      <c r="O10" s="55">
        <v>1295</v>
      </c>
      <c r="P10" s="55">
        <f t="shared" si="0"/>
        <v>3885</v>
      </c>
      <c r="Q10" s="55"/>
    </row>
    <row r="11" spans="1:19" x14ac:dyDescent="0.25">
      <c r="A11" s="5" t="s">
        <v>149</v>
      </c>
      <c r="B11" s="6" t="s">
        <v>156</v>
      </c>
      <c r="C11" s="16">
        <v>1215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f t="shared" si="0"/>
        <v>0</v>
      </c>
    </row>
    <row r="12" spans="1:19" s="27" customFormat="1" x14ac:dyDescent="0.25">
      <c r="A12" s="27" t="s">
        <v>149</v>
      </c>
      <c r="B12" s="28" t="s">
        <v>156</v>
      </c>
      <c r="C12" s="54">
        <v>1215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f t="shared" si="0"/>
        <v>0</v>
      </c>
      <c r="Q12" s="55"/>
    </row>
    <row r="13" spans="1:19" x14ac:dyDescent="0.25">
      <c r="A13" s="5" t="s">
        <v>149</v>
      </c>
      <c r="B13" s="6" t="s">
        <v>156</v>
      </c>
      <c r="C13" s="16">
        <v>1320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f t="shared" si="0"/>
        <v>0</v>
      </c>
    </row>
    <row r="15" spans="1:19" x14ac:dyDescent="0.25">
      <c r="C15" s="15">
        <f>SUM(C6:C14)</f>
        <v>21897</v>
      </c>
    </row>
    <row r="16" spans="1:19" s="56" customFormat="1" x14ac:dyDescent="0.25">
      <c r="A16" s="56" t="s">
        <v>134</v>
      </c>
      <c r="B16" s="57"/>
      <c r="C16" s="58"/>
      <c r="D16" s="59">
        <f t="shared" ref="D16:M16" si="1">SUM(D6:D15)</f>
        <v>3087</v>
      </c>
      <c r="E16" s="59">
        <f t="shared" si="1"/>
        <v>3087</v>
      </c>
      <c r="F16" s="59">
        <f t="shared" si="1"/>
        <v>3087</v>
      </c>
      <c r="G16" s="59">
        <f t="shared" si="1"/>
        <v>3087</v>
      </c>
      <c r="H16" s="59">
        <f t="shared" si="1"/>
        <v>3181</v>
      </c>
      <c r="I16" s="59">
        <f t="shared" si="1"/>
        <v>3180</v>
      </c>
      <c r="J16" s="59">
        <f t="shared" si="1"/>
        <v>3180</v>
      </c>
      <c r="K16" s="59">
        <f t="shared" si="1"/>
        <v>1448</v>
      </c>
      <c r="L16" s="59">
        <f t="shared" si="1"/>
        <v>5782</v>
      </c>
      <c r="M16" s="59">
        <f t="shared" si="1"/>
        <v>5975</v>
      </c>
      <c r="N16" s="59">
        <f t="shared" ref="N16:O16" si="2">SUM(N6:N15)</f>
        <v>5975</v>
      </c>
      <c r="O16" s="59">
        <f t="shared" si="2"/>
        <v>5975</v>
      </c>
      <c r="P16" s="59">
        <f>SUM(D16:O16)</f>
        <v>47044</v>
      </c>
      <c r="Q16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Op Budget 2015</vt:lpstr>
      <vt:lpstr>Op Budget 2016</vt:lpstr>
      <vt:lpstr>Assumptions</vt:lpstr>
      <vt:lpstr>2015 Dev Costs</vt:lpstr>
      <vt:lpstr>Broker's Comm</vt:lpstr>
      <vt:lpstr>Min Rent 2015</vt:lpstr>
      <vt:lpstr>CAM 2015</vt:lpstr>
      <vt:lpstr>RETaxes 2015</vt:lpstr>
      <vt:lpstr>Ins 2015</vt:lpstr>
      <vt:lpstr>Min Rent 2016</vt:lpstr>
      <vt:lpstr>CAM 2016</vt:lpstr>
      <vt:lpstr>RETaxes 2016</vt:lpstr>
      <vt:lpstr>Ins 2016</vt:lpstr>
    </vt:vector>
  </TitlesOfParts>
  <Company>Boxtop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Lavin</dc:creator>
  <cp:lastModifiedBy>Simon Wong</cp:lastModifiedBy>
  <cp:lastPrinted>2016-03-31T17:55:59Z</cp:lastPrinted>
  <dcterms:created xsi:type="dcterms:W3CDTF">2016-01-21T21:27:04Z</dcterms:created>
  <dcterms:modified xsi:type="dcterms:W3CDTF">2016-04-01T14:58:38Z</dcterms:modified>
</cp:coreProperties>
</file>