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Loan" sheetId="16" r:id="rId10"/>
    <sheet name="Broker's Comm" sheetId="8" r:id="rId11"/>
  </sheets>
  <externalReferences>
    <externalReference r:id="rId12"/>
  </externalReferences>
  <definedNames>
    <definedName name="_xlnm.Print_Area" localSheetId="2">'2017 Projected'!$A$1:$S$210</definedName>
    <definedName name="_xlnm.Print_Area" localSheetId="8">Distributions!$A$1:$F$21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P136" i="5" l="1"/>
  <c r="P77" i="5"/>
  <c r="P80" i="5"/>
  <c r="P79" i="5"/>
  <c r="P78" i="5"/>
  <c r="P75" i="5"/>
  <c r="P74" i="5"/>
  <c r="P68" i="5"/>
  <c r="O78" i="5"/>
  <c r="F78" i="5"/>
  <c r="K78" i="5"/>
  <c r="I78" i="5"/>
  <c r="Q75" i="5"/>
  <c r="P67" i="5"/>
  <c r="Q68" i="5" l="1"/>
  <c r="R68" i="5"/>
  <c r="P129" i="5" l="1"/>
  <c r="E125" i="5" l="1"/>
  <c r="F125" i="5"/>
  <c r="G125" i="5"/>
  <c r="H125" i="5"/>
  <c r="I125" i="5"/>
  <c r="J125" i="5"/>
  <c r="K125" i="5"/>
  <c r="L125" i="5"/>
  <c r="M125" i="5"/>
  <c r="N125" i="5"/>
  <c r="O125" i="5"/>
  <c r="D125" i="5"/>
  <c r="P31" i="16"/>
  <c r="P32" i="16"/>
  <c r="P33" i="16"/>
  <c r="P34" i="16"/>
  <c r="P35" i="16"/>
  <c r="P36" i="16"/>
  <c r="P37" i="16"/>
  <c r="P38" i="16"/>
  <c r="P39" i="16"/>
  <c r="P40" i="16"/>
  <c r="P41" i="16"/>
  <c r="P30" i="16"/>
  <c r="B19" i="16"/>
  <c r="B12" i="16"/>
  <c r="H37" i="16" s="1"/>
  <c r="J3" i="16"/>
  <c r="L3" i="16" s="1"/>
  <c r="G3" i="16"/>
  <c r="H12" i="16" l="1"/>
  <c r="H14" i="16"/>
  <c r="H16" i="16"/>
  <c r="H18" i="16"/>
  <c r="H4" i="16"/>
  <c r="H6" i="16"/>
  <c r="H8" i="16"/>
  <c r="H10" i="16"/>
  <c r="H13" i="16"/>
  <c r="H15" i="16"/>
  <c r="H17" i="16"/>
  <c r="H20" i="16"/>
  <c r="H22" i="16"/>
  <c r="H24" i="16"/>
  <c r="H26" i="16"/>
  <c r="H28" i="16"/>
  <c r="H30" i="16"/>
  <c r="H32" i="16"/>
  <c r="H34" i="16"/>
  <c r="H36" i="16"/>
  <c r="H38" i="16"/>
  <c r="H3" i="16"/>
  <c r="I3" i="16" s="1"/>
  <c r="K3" i="16" s="1"/>
  <c r="H5" i="16"/>
  <c r="H7" i="16"/>
  <c r="H9" i="16"/>
  <c r="H11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73" i="16"/>
  <c r="H69" i="16"/>
  <c r="H65" i="16"/>
  <c r="H61" i="16"/>
  <c r="H57" i="16"/>
  <c r="H53" i="16"/>
  <c r="H50" i="16"/>
  <c r="H48" i="16"/>
  <c r="H46" i="16"/>
  <c r="H44" i="16"/>
  <c r="H42" i="16"/>
  <c r="H40" i="16"/>
  <c r="H71" i="16"/>
  <c r="H67" i="16"/>
  <c r="H63" i="16"/>
  <c r="H59" i="16"/>
  <c r="H55" i="16"/>
  <c r="H51" i="16"/>
  <c r="H49" i="16"/>
  <c r="H47" i="16"/>
  <c r="H45" i="16"/>
  <c r="H43" i="16"/>
  <c r="H41" i="16"/>
  <c r="H39" i="16"/>
  <c r="H19" i="16"/>
  <c r="H21" i="16"/>
  <c r="H23" i="16"/>
  <c r="H25" i="16"/>
  <c r="H27" i="16"/>
  <c r="H29" i="16"/>
  <c r="H31" i="16"/>
  <c r="H33" i="16"/>
  <c r="H35" i="16"/>
  <c r="E178" i="5"/>
  <c r="F178" i="5"/>
  <c r="G178" i="5"/>
  <c r="H178" i="5"/>
  <c r="I178" i="5"/>
  <c r="J178" i="5"/>
  <c r="K178" i="5"/>
  <c r="L178" i="5"/>
  <c r="M178" i="5"/>
  <c r="N178" i="5"/>
  <c r="O178" i="5"/>
  <c r="E179" i="5"/>
  <c r="F179" i="5"/>
  <c r="G179" i="5"/>
  <c r="H179" i="5"/>
  <c r="I179" i="5"/>
  <c r="J179" i="5"/>
  <c r="K179" i="5"/>
  <c r="L179" i="5"/>
  <c r="M179" i="5"/>
  <c r="N179" i="5"/>
  <c r="O179" i="5"/>
  <c r="E180" i="5"/>
  <c r="F180" i="5"/>
  <c r="G180" i="5"/>
  <c r="H180" i="5"/>
  <c r="I180" i="5"/>
  <c r="J180" i="5"/>
  <c r="K180" i="5"/>
  <c r="L180" i="5"/>
  <c r="M180" i="5"/>
  <c r="N180" i="5"/>
  <c r="O180" i="5"/>
  <c r="E181" i="5"/>
  <c r="F181" i="5"/>
  <c r="G181" i="5"/>
  <c r="H181" i="5"/>
  <c r="I181" i="5"/>
  <c r="J181" i="5"/>
  <c r="K181" i="5"/>
  <c r="L181" i="5"/>
  <c r="M181" i="5"/>
  <c r="N181" i="5"/>
  <c r="O181" i="5"/>
  <c r="E183" i="5"/>
  <c r="F183" i="5"/>
  <c r="G183" i="5"/>
  <c r="H183" i="5"/>
  <c r="I183" i="5"/>
  <c r="J183" i="5"/>
  <c r="K183" i="5"/>
  <c r="L183" i="5"/>
  <c r="M183" i="5"/>
  <c r="N183" i="5"/>
  <c r="O183" i="5"/>
  <c r="D183" i="5"/>
  <c r="D180" i="5"/>
  <c r="D179" i="5"/>
  <c r="D178" i="5"/>
  <c r="D174" i="5"/>
  <c r="E175" i="5"/>
  <c r="F175" i="5"/>
  <c r="G175" i="5"/>
  <c r="H175" i="5"/>
  <c r="I175" i="5"/>
  <c r="J175" i="5"/>
  <c r="K175" i="5"/>
  <c r="L175" i="5"/>
  <c r="M175" i="5"/>
  <c r="N175" i="5"/>
  <c r="O175" i="5"/>
  <c r="D175" i="5"/>
  <c r="E15" i="15"/>
  <c r="F15" i="15"/>
  <c r="E16" i="15"/>
  <c r="F16" i="15"/>
  <c r="E182" i="5" s="1"/>
  <c r="E17" i="15"/>
  <c r="F17" i="15"/>
  <c r="D181" i="5"/>
  <c r="F14" i="15"/>
  <c r="F13" i="15"/>
  <c r="P175" i="5" l="1"/>
  <c r="Q175" i="5" s="1"/>
  <c r="R175" i="5" s="1"/>
  <c r="M3" i="16"/>
  <c r="G4" i="16" s="1"/>
  <c r="D182" i="5"/>
  <c r="N182" i="5"/>
  <c r="L182" i="5"/>
  <c r="J182" i="5"/>
  <c r="H182" i="5"/>
  <c r="F182" i="5"/>
  <c r="P178" i="5"/>
  <c r="Q178" i="5" s="1"/>
  <c r="R178" i="5" s="1"/>
  <c r="P180" i="5"/>
  <c r="Q180" i="5" s="1"/>
  <c r="R180" i="5" s="1"/>
  <c r="P183" i="5"/>
  <c r="Q183" i="5" s="1"/>
  <c r="R183" i="5" s="1"/>
  <c r="O182" i="5"/>
  <c r="M182" i="5"/>
  <c r="K182" i="5"/>
  <c r="I182" i="5"/>
  <c r="G182" i="5"/>
  <c r="P181" i="5"/>
  <c r="Q181" i="5" s="1"/>
  <c r="R181" i="5" s="1"/>
  <c r="P179" i="5"/>
  <c r="Q179" i="5" s="1"/>
  <c r="R179" i="5" s="1"/>
  <c r="P182" i="5"/>
  <c r="Q182" i="5" s="1"/>
  <c r="R182" i="5" s="1"/>
  <c r="J4" i="16" l="1"/>
  <c r="L4" i="16" l="1"/>
  <c r="I4" i="16"/>
  <c r="K4" i="16" l="1"/>
  <c r="M4" i="16"/>
  <c r="G5" i="16" s="1"/>
  <c r="J5" i="16" l="1"/>
  <c r="P110" i="5"/>
  <c r="F110" i="5" s="1"/>
  <c r="P65" i="5"/>
  <c r="Q65" i="5" s="1"/>
  <c r="R65" i="5" s="1"/>
  <c r="P66" i="5"/>
  <c r="Q66" i="5" s="1"/>
  <c r="R66" i="5" s="1"/>
  <c r="P69" i="5"/>
  <c r="F13" i="11"/>
  <c r="G13" i="11"/>
  <c r="H13" i="11"/>
  <c r="I13" i="11"/>
  <c r="J13" i="11"/>
  <c r="K13" i="11"/>
  <c r="L13" i="11"/>
  <c r="M13" i="11"/>
  <c r="N13" i="11"/>
  <c r="O13" i="11"/>
  <c r="P13" i="11"/>
  <c r="E13" i="11"/>
  <c r="F8" i="11"/>
  <c r="G8" i="11"/>
  <c r="H8" i="11"/>
  <c r="I8" i="11"/>
  <c r="J8" i="11"/>
  <c r="K8" i="11"/>
  <c r="L8" i="11"/>
  <c r="M8" i="11"/>
  <c r="N8" i="11"/>
  <c r="O8" i="11"/>
  <c r="P8" i="11"/>
  <c r="E8" i="11"/>
  <c r="F7" i="11"/>
  <c r="G7" i="11"/>
  <c r="H7" i="11"/>
  <c r="I7" i="11"/>
  <c r="J7" i="11"/>
  <c r="K7" i="11"/>
  <c r="L7" i="11"/>
  <c r="M7" i="11"/>
  <c r="N7" i="11"/>
  <c r="O7" i="11"/>
  <c r="P7" i="11"/>
  <c r="E7" i="11"/>
  <c r="F6" i="11"/>
  <c r="G6" i="11"/>
  <c r="H6" i="11"/>
  <c r="I6" i="11"/>
  <c r="J6" i="11"/>
  <c r="K6" i="11"/>
  <c r="L6" i="11"/>
  <c r="M6" i="11"/>
  <c r="N6" i="11"/>
  <c r="O6" i="11"/>
  <c r="P6" i="11"/>
  <c r="E6" i="11"/>
  <c r="G12" i="11"/>
  <c r="H12" i="11"/>
  <c r="I12" i="11" s="1"/>
  <c r="J12" i="11" s="1"/>
  <c r="K12" i="11" s="1"/>
  <c r="L12" i="11" s="1"/>
  <c r="M12" i="11" s="1"/>
  <c r="N12" i="11" s="1"/>
  <c r="O12" i="11" s="1"/>
  <c r="P12" i="11" s="1"/>
  <c r="F12" i="11"/>
  <c r="G11" i="11"/>
  <c r="H11" i="11" s="1"/>
  <c r="I11" i="11" s="1"/>
  <c r="J11" i="11" s="1"/>
  <c r="K11" i="11" s="1"/>
  <c r="L11" i="11" s="1"/>
  <c r="M11" i="11" s="1"/>
  <c r="N11" i="11" s="1"/>
  <c r="O11" i="11" s="1"/>
  <c r="P11" i="11" s="1"/>
  <c r="F11" i="11"/>
  <c r="L5" i="16" l="1"/>
  <c r="I5" i="16"/>
  <c r="O110" i="5"/>
  <c r="M110" i="5"/>
  <c r="K110" i="5"/>
  <c r="I110" i="5"/>
  <c r="G110" i="5"/>
  <c r="E110" i="5"/>
  <c r="D110" i="5"/>
  <c r="N110" i="5"/>
  <c r="L110" i="5"/>
  <c r="J110" i="5"/>
  <c r="H110" i="5"/>
  <c r="K5" i="16" l="1"/>
  <c r="M5" i="16"/>
  <c r="G6" i="16" s="1"/>
  <c r="J6" i="16" l="1"/>
  <c r="L6" i="16" l="1"/>
  <c r="I6" i="16"/>
  <c r="K6" i="16" l="1"/>
  <c r="M6" i="16"/>
  <c r="G7" i="16" s="1"/>
  <c r="J7" i="16" l="1"/>
  <c r="L7" i="16" l="1"/>
  <c r="I7" i="16"/>
  <c r="K7" i="16" l="1"/>
  <c r="M7" i="16"/>
  <c r="G8" i="16" s="1"/>
  <c r="J8" i="16" l="1"/>
  <c r="L8" i="16" l="1"/>
  <c r="I8" i="16"/>
  <c r="K8" i="16" l="1"/>
  <c r="M8" i="16"/>
  <c r="G9" i="16" s="1"/>
  <c r="J9" i="16" l="1"/>
  <c r="L9" i="16" l="1"/>
  <c r="I9" i="16"/>
  <c r="K9" i="16" l="1"/>
  <c r="M9" i="16"/>
  <c r="G10" i="16" s="1"/>
  <c r="J10" i="16" l="1"/>
  <c r="L10" i="16" l="1"/>
  <c r="I10" i="16"/>
  <c r="K10" i="16" l="1"/>
  <c r="M10" i="16"/>
  <c r="G11" i="16" s="1"/>
  <c r="J11" i="16" l="1"/>
  <c r="L11" i="16" l="1"/>
  <c r="I11" i="16"/>
  <c r="K11" i="16" l="1"/>
  <c r="M11" i="16"/>
  <c r="G12" i="16" s="1"/>
  <c r="J12" i="16" l="1"/>
  <c r="L12" i="16" l="1"/>
  <c r="I12" i="16"/>
  <c r="K12" i="16" l="1"/>
  <c r="M12" i="16"/>
  <c r="G13" i="16" s="1"/>
  <c r="J13" i="16" l="1"/>
  <c r="L13" i="16" l="1"/>
  <c r="I13" i="16"/>
  <c r="K13" i="16" l="1"/>
  <c r="M13" i="16"/>
  <c r="G14" i="16" s="1"/>
  <c r="J14" i="16" l="1"/>
  <c r="L14" i="16" l="1"/>
  <c r="I14" i="16"/>
  <c r="K14" i="16" l="1"/>
  <c r="M14" i="16"/>
  <c r="G15" i="16" s="1"/>
  <c r="J15" i="16" l="1"/>
  <c r="L15" i="16" l="1"/>
  <c r="I15" i="16"/>
  <c r="K15" i="16" l="1"/>
  <c r="M15" i="16"/>
  <c r="G16" i="16" s="1"/>
  <c r="C34" i="5"/>
  <c r="E36" i="5"/>
  <c r="F36" i="5"/>
  <c r="G36" i="5"/>
  <c r="H36" i="5"/>
  <c r="I36" i="5"/>
  <c r="J36" i="5"/>
  <c r="K36" i="5"/>
  <c r="L36" i="5"/>
  <c r="M36" i="5"/>
  <c r="N36" i="5"/>
  <c r="O36" i="5"/>
  <c r="D36" i="5"/>
  <c r="F35" i="5"/>
  <c r="G35" i="5"/>
  <c r="H35" i="5"/>
  <c r="I35" i="5"/>
  <c r="J35" i="5"/>
  <c r="K35" i="5"/>
  <c r="L35" i="5"/>
  <c r="M35" i="5"/>
  <c r="N35" i="5"/>
  <c r="O35" i="5"/>
  <c r="E35" i="5"/>
  <c r="E34" i="5" s="1"/>
  <c r="D35" i="5"/>
  <c r="D34" i="5" s="1"/>
  <c r="G12" i="12"/>
  <c r="H12" i="12"/>
  <c r="I12" i="12" s="1"/>
  <c r="J12" i="12" s="1"/>
  <c r="K12" i="12" s="1"/>
  <c r="L12" i="12" s="1"/>
  <c r="M12" i="12" s="1"/>
  <c r="N12" i="12" s="1"/>
  <c r="O12" i="12" s="1"/>
  <c r="P12" i="12" s="1"/>
  <c r="F12" i="12"/>
  <c r="F6" i="10"/>
  <c r="G6" i="10"/>
  <c r="H6" i="10" s="1"/>
  <c r="I6" i="10" s="1"/>
  <c r="J6" i="10" s="1"/>
  <c r="K6" i="10" s="1"/>
  <c r="L6" i="10" s="1"/>
  <c r="M6" i="10" s="1"/>
  <c r="N6" i="10" s="1"/>
  <c r="O6" i="10" s="1"/>
  <c r="P6" i="10" s="1"/>
  <c r="J16" i="16" l="1"/>
  <c r="N34" i="5"/>
  <c r="L34" i="5"/>
  <c r="J34" i="5"/>
  <c r="H34" i="5"/>
  <c r="F34" i="5"/>
  <c r="O34" i="5"/>
  <c r="M34" i="5"/>
  <c r="K34" i="5"/>
  <c r="I34" i="5"/>
  <c r="G34" i="5"/>
  <c r="P36" i="5"/>
  <c r="Q36" i="5" s="1"/>
  <c r="R36" i="5" s="1"/>
  <c r="P35" i="5"/>
  <c r="C37" i="5"/>
  <c r="C25" i="5"/>
  <c r="D33" i="5"/>
  <c r="E33" i="5"/>
  <c r="F33" i="5"/>
  <c r="G33" i="5"/>
  <c r="H33" i="5"/>
  <c r="I33" i="5"/>
  <c r="J33" i="5"/>
  <c r="K33" i="5"/>
  <c r="L33" i="5"/>
  <c r="M33" i="5"/>
  <c r="N33" i="5"/>
  <c r="O33" i="5"/>
  <c r="D11" i="5"/>
  <c r="D12" i="5"/>
  <c r="D13" i="5"/>
  <c r="D14" i="5"/>
  <c r="D15" i="5"/>
  <c r="D16" i="5"/>
  <c r="D17" i="5"/>
  <c r="D18" i="5"/>
  <c r="L16" i="16" l="1"/>
  <c r="I16" i="16"/>
  <c r="P34" i="5"/>
  <c r="Q35" i="5"/>
  <c r="R35" i="5" s="1"/>
  <c r="P33" i="5"/>
  <c r="Q33" i="5" s="1"/>
  <c r="R33" i="5" s="1"/>
  <c r="K16" i="16" l="1"/>
  <c r="M16" i="16"/>
  <c r="G17" i="16" s="1"/>
  <c r="J17" i="16" l="1"/>
  <c r="L17" i="16" l="1"/>
  <c r="I17" i="16"/>
  <c r="K17" i="16" l="1"/>
  <c r="M17" i="16"/>
  <c r="G18" i="16" s="1"/>
  <c r="J18" i="16" l="1"/>
  <c r="L18" i="16" l="1"/>
  <c r="I18" i="16"/>
  <c r="K18" i="16" l="1"/>
  <c r="M18" i="16"/>
  <c r="G19" i="16" s="1"/>
  <c r="J19" i="16" l="1"/>
  <c r="L19" i="16" l="1"/>
  <c r="I19" i="16"/>
  <c r="K19" i="16" l="1"/>
  <c r="M19" i="16"/>
  <c r="G20" i="16" s="1"/>
  <c r="J20" i="16" l="1"/>
  <c r="L20" i="16" l="1"/>
  <c r="I20" i="16"/>
  <c r="K20" i="16" l="1"/>
  <c r="M20" i="16"/>
  <c r="G21" i="16" s="1"/>
  <c r="J21" i="16" l="1"/>
  <c r="L21" i="16" l="1"/>
  <c r="I21" i="16"/>
  <c r="K21" i="16" l="1"/>
  <c r="M21" i="16"/>
  <c r="G22" i="16" s="1"/>
  <c r="J22" i="16" l="1"/>
  <c r="L22" i="16" l="1"/>
  <c r="I22" i="16"/>
  <c r="K22" i="16" l="1"/>
  <c r="M22" i="16"/>
  <c r="G23" i="16" s="1"/>
  <c r="J23" i="16" l="1"/>
  <c r="L23" i="16" l="1"/>
  <c r="I23" i="16"/>
  <c r="K23" i="16" l="1"/>
  <c r="M23" i="16"/>
  <c r="G24" i="16" s="1"/>
  <c r="J24" i="16" l="1"/>
  <c r="L24" i="16" l="1"/>
  <c r="I24" i="16"/>
  <c r="K24" i="16" l="1"/>
  <c r="M24" i="16"/>
  <c r="G25" i="16" s="1"/>
  <c r="J25" i="16" l="1"/>
  <c r="L25" i="16" l="1"/>
  <c r="I25" i="16"/>
  <c r="K25" i="16" l="1"/>
  <c r="M25" i="16"/>
  <c r="G26" i="16" s="1"/>
  <c r="J26" i="16" l="1"/>
  <c r="L26" i="16" l="1"/>
  <c r="I26" i="16"/>
  <c r="K26" i="16" l="1"/>
  <c r="M26" i="16"/>
  <c r="G27" i="16" s="1"/>
  <c r="J27" i="16" l="1"/>
  <c r="L27" i="16" l="1"/>
  <c r="I27" i="16"/>
  <c r="K27" i="16" l="1"/>
  <c r="M27" i="16"/>
  <c r="G28" i="16" s="1"/>
  <c r="J28" i="16" l="1"/>
  <c r="L28" i="16" l="1"/>
  <c r="I28" i="16"/>
  <c r="K28" i="16" l="1"/>
  <c r="M28" i="16"/>
  <c r="G29" i="16" s="1"/>
  <c r="J29" i="16" l="1"/>
  <c r="L29" i="16" l="1"/>
  <c r="I29" i="16"/>
  <c r="K29" i="16" l="1"/>
  <c r="M29" i="16"/>
  <c r="G30" i="16" s="1"/>
  <c r="J30" i="16" l="1"/>
  <c r="L30" i="16" l="1"/>
  <c r="I30" i="16"/>
  <c r="K30" i="16" l="1"/>
  <c r="M30" i="16"/>
  <c r="G31" i="16" s="1"/>
  <c r="J31" i="16" l="1"/>
  <c r="L31" i="16" l="1"/>
  <c r="I31" i="16"/>
  <c r="K31" i="16" l="1"/>
  <c r="M31" i="16"/>
  <c r="G32" i="16" s="1"/>
  <c r="J32" i="16" l="1"/>
  <c r="L32" i="16" l="1"/>
  <c r="I32" i="16"/>
  <c r="K32" i="16" l="1"/>
  <c r="M32" i="16"/>
  <c r="G33" i="16" s="1"/>
  <c r="J33" i="16" l="1"/>
  <c r="L33" i="16" l="1"/>
  <c r="I33" i="16"/>
  <c r="K33" i="16" l="1"/>
  <c r="M33" i="16"/>
  <c r="G34" i="16" s="1"/>
  <c r="J34" i="16" l="1"/>
  <c r="L34" i="16" l="1"/>
  <c r="I34" i="16"/>
  <c r="K34" i="16" l="1"/>
  <c r="M34" i="16"/>
  <c r="G35" i="16" s="1"/>
  <c r="J35" i="16" l="1"/>
  <c r="L35" i="16" l="1"/>
  <c r="I35" i="16"/>
  <c r="K35" i="16" l="1"/>
  <c r="M35" i="16"/>
  <c r="G36" i="16" s="1"/>
  <c r="J36" i="16" l="1"/>
  <c r="L36" i="16" l="1"/>
  <c r="I36" i="16"/>
  <c r="K36" i="16" l="1"/>
  <c r="M36" i="16"/>
  <c r="G37" i="16" s="1"/>
  <c r="J37" i="16" l="1"/>
  <c r="L37" i="16" l="1"/>
  <c r="I37" i="16"/>
  <c r="K37" i="16" l="1"/>
  <c r="M37" i="16"/>
  <c r="G38" i="16" s="1"/>
  <c r="J38" i="16" l="1"/>
  <c r="L38" i="16" l="1"/>
  <c r="I38" i="16"/>
  <c r="K38" i="16" l="1"/>
  <c r="M38" i="16"/>
  <c r="G39" i="16" s="1"/>
  <c r="J39" i="16" l="1"/>
  <c r="L39" i="16" l="1"/>
  <c r="I39" i="16"/>
  <c r="K39" i="16" l="1"/>
  <c r="M39" i="16"/>
  <c r="G40" i="16" s="1"/>
  <c r="J40" i="16" l="1"/>
  <c r="L40" i="16" l="1"/>
  <c r="I40" i="16"/>
  <c r="K40" i="16" l="1"/>
  <c r="M40" i="16"/>
  <c r="G41" i="16" s="1"/>
  <c r="J41" i="16" l="1"/>
  <c r="L41" i="16" l="1"/>
  <c r="I41" i="16"/>
  <c r="K41" i="16" l="1"/>
  <c r="M41" i="16"/>
  <c r="G42" i="16" s="1"/>
  <c r="J42" i="16" l="1"/>
  <c r="L42" i="16" l="1"/>
  <c r="I42" i="16"/>
  <c r="K42" i="16" l="1"/>
  <c r="M42" i="16"/>
  <c r="G43" i="16" s="1"/>
  <c r="J43" i="16" l="1"/>
  <c r="L43" i="16" l="1"/>
  <c r="I43" i="16"/>
  <c r="K43" i="16" l="1"/>
  <c r="M43" i="16"/>
  <c r="G44" i="16" s="1"/>
  <c r="J44" i="16" l="1"/>
  <c r="L44" i="16" l="1"/>
  <c r="I44" i="16"/>
  <c r="K44" i="16" l="1"/>
  <c r="M44" i="16"/>
  <c r="G45" i="16" s="1"/>
  <c r="J45" i="16" l="1"/>
  <c r="L45" i="16" l="1"/>
  <c r="I45" i="16"/>
  <c r="K45" i="16" l="1"/>
  <c r="M45" i="16"/>
  <c r="G46" i="16" s="1"/>
  <c r="J46" i="16" l="1"/>
  <c r="L46" i="16" l="1"/>
  <c r="I46" i="16"/>
  <c r="K46" i="16" l="1"/>
  <c r="M46" i="16"/>
  <c r="G47" i="16" s="1"/>
  <c r="J47" i="16" l="1"/>
  <c r="L47" i="16" l="1"/>
  <c r="I47" i="16"/>
  <c r="K47" i="16" l="1"/>
  <c r="M47" i="16"/>
  <c r="G48" i="16" s="1"/>
  <c r="J48" i="16" l="1"/>
  <c r="L48" i="16" l="1"/>
  <c r="I48" i="16"/>
  <c r="K48" i="16" l="1"/>
  <c r="M48" i="16"/>
  <c r="G49" i="16" s="1"/>
  <c r="J49" i="16" l="1"/>
  <c r="L49" i="16" l="1"/>
  <c r="I49" i="16"/>
  <c r="K49" i="16" l="1"/>
  <c r="M49" i="16"/>
  <c r="G50" i="16" s="1"/>
  <c r="J50" i="16" l="1"/>
  <c r="L50" i="16" l="1"/>
  <c r="I50" i="16"/>
  <c r="K50" i="16" l="1"/>
  <c r="M50" i="16"/>
  <c r="G51" i="16" s="1"/>
  <c r="J51" i="16" l="1"/>
  <c r="L51" i="16" l="1"/>
  <c r="I51" i="16"/>
  <c r="K51" i="16" l="1"/>
  <c r="M51" i="16"/>
  <c r="G52" i="16" s="1"/>
  <c r="J52" i="16" l="1"/>
  <c r="L52" i="16" l="1"/>
  <c r="I52" i="16"/>
  <c r="K52" i="16" l="1"/>
  <c r="M52" i="16"/>
  <c r="G53" i="16" s="1"/>
  <c r="J53" i="16" l="1"/>
  <c r="L53" i="16" l="1"/>
  <c r="I53" i="16"/>
  <c r="K53" i="16" l="1"/>
  <c r="M53" i="16"/>
  <c r="G54" i="16" s="1"/>
  <c r="J54" i="16" l="1"/>
  <c r="L54" i="16" l="1"/>
  <c r="I54" i="16"/>
  <c r="K54" i="16" l="1"/>
  <c r="M54" i="16"/>
  <c r="G55" i="16" s="1"/>
  <c r="J55" i="16" l="1"/>
  <c r="L55" i="16" l="1"/>
  <c r="I55" i="16"/>
  <c r="K55" i="16" l="1"/>
  <c r="M55" i="16"/>
  <c r="G56" i="16" s="1"/>
  <c r="J56" i="16" l="1"/>
  <c r="L56" i="16" l="1"/>
  <c r="I56" i="16"/>
  <c r="K56" i="16" l="1"/>
  <c r="M56" i="16"/>
  <c r="G57" i="16" s="1"/>
  <c r="P71" i="5"/>
  <c r="P72" i="5"/>
  <c r="P76" i="5"/>
  <c r="P70" i="5"/>
  <c r="J57" i="16" l="1"/>
  <c r="L57" i="16" l="1"/>
  <c r="I57" i="16"/>
  <c r="K57" i="16" l="1"/>
  <c r="M57" i="16"/>
  <c r="G58" i="16" s="1"/>
  <c r="J58" i="16" l="1"/>
  <c r="L58" i="16" l="1"/>
  <c r="I58" i="16"/>
  <c r="K58" i="16" l="1"/>
  <c r="M58" i="16"/>
  <c r="G59" i="16" s="1"/>
  <c r="J59" i="16" l="1"/>
  <c r="L59" i="16" l="1"/>
  <c r="I59" i="16"/>
  <c r="K59" i="16" l="1"/>
  <c r="M59" i="16"/>
  <c r="G60" i="16" s="1"/>
  <c r="J60" i="16" l="1"/>
  <c r="L60" i="16" l="1"/>
  <c r="I60" i="16"/>
  <c r="E18" i="15"/>
  <c r="E6" i="15" s="1"/>
  <c r="F5" i="15"/>
  <c r="E171" i="5" s="1"/>
  <c r="F6" i="15"/>
  <c r="E172" i="5" s="1"/>
  <c r="F7" i="15"/>
  <c r="E173" i="5" s="1"/>
  <c r="F8" i="15"/>
  <c r="E174" i="5" s="1"/>
  <c r="F9" i="15"/>
  <c r="F10" i="15"/>
  <c r="F11" i="15"/>
  <c r="F12" i="15"/>
  <c r="F4" i="15"/>
  <c r="E170" i="5" s="1"/>
  <c r="C18" i="15"/>
  <c r="K60" i="16" l="1"/>
  <c r="M60" i="16"/>
  <c r="G61" i="16" s="1"/>
  <c r="E176" i="5"/>
  <c r="G176" i="5"/>
  <c r="I176" i="5"/>
  <c r="K176" i="5"/>
  <c r="M176" i="5"/>
  <c r="O176" i="5"/>
  <c r="D176" i="5"/>
  <c r="F176" i="5"/>
  <c r="H176" i="5"/>
  <c r="J176" i="5"/>
  <c r="L176" i="5"/>
  <c r="N176" i="5"/>
  <c r="F177" i="5"/>
  <c r="H177" i="5"/>
  <c r="J177" i="5"/>
  <c r="L177" i="5"/>
  <c r="N177" i="5"/>
  <c r="D177" i="5"/>
  <c r="E177" i="5"/>
  <c r="G177" i="5"/>
  <c r="I177" i="5"/>
  <c r="K177" i="5"/>
  <c r="M177" i="5"/>
  <c r="O177" i="5"/>
  <c r="E10" i="15"/>
  <c r="E4" i="15"/>
  <c r="E5" i="15"/>
  <c r="E14" i="15"/>
  <c r="E13" i="15"/>
  <c r="E8" i="15"/>
  <c r="E12" i="15"/>
  <c r="E11" i="15"/>
  <c r="E9" i="15"/>
  <c r="E7" i="15"/>
  <c r="D18" i="15"/>
  <c r="J61" i="16" l="1"/>
  <c r="P176" i="5"/>
  <c r="Q176" i="5" s="1"/>
  <c r="R176" i="5" s="1"/>
  <c r="P177" i="5"/>
  <c r="Q177" i="5" s="1"/>
  <c r="R177" i="5" s="1"/>
  <c r="L61" i="16" l="1"/>
  <c r="I61" i="16"/>
  <c r="K61" i="16" l="1"/>
  <c r="M61" i="16"/>
  <c r="G62" i="16" s="1"/>
  <c r="J62" i="16" l="1"/>
  <c r="L62" i="16" l="1"/>
  <c r="I62" i="16"/>
  <c r="K62" i="16" l="1"/>
  <c r="M62" i="16"/>
  <c r="G63" i="16" s="1"/>
  <c r="J63" i="16" l="1"/>
  <c r="L63" i="16" l="1"/>
  <c r="I63" i="16"/>
  <c r="K63" i="16" l="1"/>
  <c r="M63" i="16"/>
  <c r="G64" i="16" s="1"/>
  <c r="J64" i="16" l="1"/>
  <c r="L64" i="16" l="1"/>
  <c r="I64" i="16"/>
  <c r="K64" i="16" l="1"/>
  <c r="M64" i="16"/>
  <c r="G65" i="16" s="1"/>
  <c r="J65" i="16" l="1"/>
  <c r="L65" i="16" l="1"/>
  <c r="I65" i="16"/>
  <c r="K65" i="16" l="1"/>
  <c r="M65" i="16"/>
  <c r="G66" i="16" s="1"/>
  <c r="J66" i="16" l="1"/>
  <c r="L66" i="16" l="1"/>
  <c r="I66" i="16"/>
  <c r="K66" i="16" l="1"/>
  <c r="M66" i="16"/>
  <c r="G67" i="16" s="1"/>
  <c r="J67" i="16" l="1"/>
  <c r="L67" i="16" l="1"/>
  <c r="I67" i="16"/>
  <c r="K67" i="16" l="1"/>
  <c r="M67" i="16"/>
  <c r="G68" i="16" s="1"/>
  <c r="J68" i="16" l="1"/>
  <c r="L68" i="16" l="1"/>
  <c r="I68" i="16"/>
  <c r="K68" i="16" l="1"/>
  <c r="M68" i="16"/>
  <c r="G69" i="16" s="1"/>
  <c r="J69" i="16" l="1"/>
  <c r="L69" i="16" l="1"/>
  <c r="I69" i="16"/>
  <c r="K69" i="16" l="1"/>
  <c r="M69" i="16"/>
  <c r="G70" i="16" s="1"/>
  <c r="J70" i="16" l="1"/>
  <c r="L70" i="16" l="1"/>
  <c r="I70" i="16"/>
  <c r="K70" i="16" l="1"/>
  <c r="M70" i="16"/>
  <c r="G71" i="16" s="1"/>
  <c r="J71" i="16" l="1"/>
  <c r="L71" i="16" l="1"/>
  <c r="I71" i="16"/>
  <c r="K71" i="16" l="1"/>
  <c r="M71" i="16"/>
  <c r="G72" i="16" s="1"/>
  <c r="J72" i="16" l="1"/>
  <c r="L72" i="16" l="1"/>
  <c r="I72" i="16"/>
  <c r="K72" i="16" l="1"/>
  <c r="M72" i="16"/>
  <c r="G73" i="16" s="1"/>
  <c r="J73" i="16" l="1"/>
  <c r="L73" i="16" l="1"/>
  <c r="I73" i="16"/>
  <c r="K73" i="16" l="1"/>
  <c r="M73" i="16"/>
  <c r="G74" i="16" s="1"/>
  <c r="J74" i="16" l="1"/>
  <c r="L74" i="16" l="1"/>
  <c r="I74" i="16"/>
  <c r="K74" i="16" l="1"/>
  <c r="M74" i="16"/>
  <c r="F7" i="10" l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F8" i="10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F12" i="10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9" i="5" l="1"/>
  <c r="H18" i="5"/>
  <c r="F6" i="9"/>
  <c r="G6" i="9" s="1"/>
  <c r="H6" i="9" s="1"/>
  <c r="I6" i="9" s="1"/>
  <c r="J6" i="9" s="1"/>
  <c r="K6" i="9" s="1"/>
  <c r="L6" i="9" s="1"/>
  <c r="M6" i="9" s="1"/>
  <c r="N6" i="9" s="1"/>
  <c r="O6" i="9" s="1"/>
  <c r="P6" i="9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F10" i="9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F11" i="9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F12" i="9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F5" i="9"/>
  <c r="H5" i="9" s="1"/>
  <c r="I5" i="9" s="1"/>
  <c r="J5" i="9" s="1"/>
  <c r="K5" i="9" s="1"/>
  <c r="L5" i="9" s="1"/>
  <c r="M5" i="9" s="1"/>
  <c r="N5" i="9" s="1"/>
  <c r="O5" i="9" s="1"/>
  <c r="P5" i="9" s="1"/>
  <c r="E17" i="5" l="1"/>
  <c r="F17" i="5"/>
  <c r="E13" i="5"/>
  <c r="F13" i="5"/>
  <c r="M12" i="5"/>
  <c r="E11" i="5"/>
  <c r="E18" i="5"/>
  <c r="E16" i="5"/>
  <c r="E14" i="5"/>
  <c r="E12" i="5"/>
  <c r="H11" i="5"/>
  <c r="G17" i="5"/>
  <c r="G15" i="5"/>
  <c r="G13" i="5"/>
  <c r="E15" i="5"/>
  <c r="F11" i="5"/>
  <c r="F15" i="5"/>
  <c r="G11" i="5"/>
  <c r="D21" i="5"/>
  <c r="R127" i="5"/>
  <c r="R128" i="5"/>
  <c r="R129" i="5"/>
  <c r="R130" i="5"/>
  <c r="R131" i="5"/>
  <c r="R133" i="5"/>
  <c r="R134" i="5"/>
  <c r="R135" i="5"/>
  <c r="R136" i="5"/>
  <c r="R137" i="5"/>
  <c r="R138" i="5"/>
  <c r="R140" i="5"/>
  <c r="R142" i="5"/>
  <c r="R143" i="5"/>
  <c r="R145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8" i="5"/>
  <c r="R169" i="5"/>
  <c r="R185" i="5"/>
  <c r="R186" i="5"/>
  <c r="R188" i="5"/>
  <c r="E21" i="5" l="1"/>
  <c r="H13" i="5"/>
  <c r="H15" i="5"/>
  <c r="H17" i="5"/>
  <c r="I11" i="5"/>
  <c r="F12" i="5"/>
  <c r="F14" i="5"/>
  <c r="F16" i="5"/>
  <c r="F18" i="5"/>
  <c r="R19" i="5"/>
  <c r="R20" i="5"/>
  <c r="R22" i="5"/>
  <c r="R23" i="5"/>
  <c r="R24" i="5"/>
  <c r="R46" i="5"/>
  <c r="R47" i="5"/>
  <c r="R48" i="5"/>
  <c r="R49" i="5"/>
  <c r="R51" i="5"/>
  <c r="R52" i="5"/>
  <c r="R53" i="5"/>
  <c r="R54" i="5"/>
  <c r="R55" i="5"/>
  <c r="R57" i="5"/>
  <c r="R59" i="5"/>
  <c r="R61" i="5"/>
  <c r="R62" i="5"/>
  <c r="R63" i="5"/>
  <c r="R67" i="5"/>
  <c r="R83" i="5"/>
  <c r="R84" i="5"/>
  <c r="R95" i="5"/>
  <c r="R96" i="5"/>
  <c r="R101" i="5"/>
  <c r="R102" i="5"/>
  <c r="R104" i="5"/>
  <c r="R105" i="5"/>
  <c r="R111" i="5"/>
  <c r="R113" i="5"/>
  <c r="R114" i="5"/>
  <c r="R117" i="5"/>
  <c r="R118" i="5"/>
  <c r="R120" i="5"/>
  <c r="R121" i="5"/>
  <c r="R123" i="5"/>
  <c r="R124" i="5"/>
  <c r="G18" i="5" l="1"/>
  <c r="G16" i="5"/>
  <c r="G14" i="5"/>
  <c r="G12" i="5"/>
  <c r="J11" i="5"/>
  <c r="I17" i="5"/>
  <c r="I15" i="5"/>
  <c r="I13" i="5"/>
  <c r="F21" i="5"/>
  <c r="R75" i="5"/>
  <c r="G21" i="5" l="1"/>
  <c r="J13" i="5"/>
  <c r="J15" i="5"/>
  <c r="J17" i="5"/>
  <c r="K11" i="5"/>
  <c r="H12" i="5"/>
  <c r="H14" i="5"/>
  <c r="H16" i="5"/>
  <c r="I18" i="5"/>
  <c r="D27" i="5"/>
  <c r="J18" i="5" l="1"/>
  <c r="I16" i="5"/>
  <c r="I14" i="5"/>
  <c r="I12" i="5"/>
  <c r="L11" i="5"/>
  <c r="K17" i="5"/>
  <c r="K15" i="5"/>
  <c r="K13" i="5"/>
  <c r="H21" i="5"/>
  <c r="P108" i="5"/>
  <c r="K107" i="5"/>
  <c r="J107" i="5"/>
  <c r="G107" i="5"/>
  <c r="F107" i="5"/>
  <c r="P106" i="5"/>
  <c r="I21" i="5" l="1"/>
  <c r="L13" i="5"/>
  <c r="L15" i="5"/>
  <c r="L17" i="5"/>
  <c r="M11" i="5"/>
  <c r="J12" i="5"/>
  <c r="J14" i="5"/>
  <c r="J16" i="5"/>
  <c r="K18" i="5"/>
  <c r="P107" i="5"/>
  <c r="L18" i="5" l="1"/>
  <c r="K16" i="5"/>
  <c r="K14" i="5"/>
  <c r="K12" i="5"/>
  <c r="O11" i="5"/>
  <c r="N11" i="5"/>
  <c r="M17" i="5"/>
  <c r="M15" i="5"/>
  <c r="M13" i="5"/>
  <c r="J21" i="5"/>
  <c r="P198" i="5"/>
  <c r="K21" i="5" l="1"/>
  <c r="O13" i="5"/>
  <c r="N13" i="5"/>
  <c r="O15" i="5"/>
  <c r="N15" i="5"/>
  <c r="O17" i="5"/>
  <c r="N17" i="5"/>
  <c r="L12" i="5"/>
  <c r="L14" i="5"/>
  <c r="L16" i="5"/>
  <c r="M18" i="5"/>
  <c r="P89" i="5"/>
  <c r="L21" i="5" l="1"/>
  <c r="O18" i="5"/>
  <c r="N18" i="5"/>
  <c r="M16" i="5"/>
  <c r="M14" i="5"/>
  <c r="O12" i="5"/>
  <c r="N12" i="5"/>
  <c r="Q67" i="5"/>
  <c r="E100" i="5"/>
  <c r="F100" i="5"/>
  <c r="G100" i="5"/>
  <c r="H100" i="5"/>
  <c r="I100" i="5"/>
  <c r="J100" i="5"/>
  <c r="K100" i="5"/>
  <c r="L100" i="5"/>
  <c r="M100" i="5"/>
  <c r="N100" i="5"/>
  <c r="O100" i="5"/>
  <c r="M21" i="5" l="1"/>
  <c r="O14" i="5"/>
  <c r="N14" i="5"/>
  <c r="O16" i="5"/>
  <c r="N16" i="5"/>
  <c r="N173" i="5"/>
  <c r="L173" i="5"/>
  <c r="J173" i="5"/>
  <c r="H173" i="5"/>
  <c r="F173" i="5"/>
  <c r="O173" i="5"/>
  <c r="K173" i="5"/>
  <c r="G173" i="5"/>
  <c r="D173" i="5"/>
  <c r="M173" i="5"/>
  <c r="I173" i="5"/>
  <c r="N171" i="5"/>
  <c r="L171" i="5"/>
  <c r="J171" i="5"/>
  <c r="H171" i="5"/>
  <c r="F171" i="5"/>
  <c r="M171" i="5"/>
  <c r="I171" i="5"/>
  <c r="D171" i="5"/>
  <c r="O171" i="5"/>
  <c r="K171" i="5"/>
  <c r="G171" i="5"/>
  <c r="N174" i="5"/>
  <c r="L174" i="5"/>
  <c r="J174" i="5"/>
  <c r="H174" i="5"/>
  <c r="F174" i="5"/>
  <c r="M174" i="5"/>
  <c r="I174" i="5"/>
  <c r="O174" i="5"/>
  <c r="K174" i="5"/>
  <c r="G174" i="5"/>
  <c r="O170" i="5"/>
  <c r="M170" i="5"/>
  <c r="K170" i="5"/>
  <c r="I170" i="5"/>
  <c r="G170" i="5"/>
  <c r="D170" i="5"/>
  <c r="L170" i="5"/>
  <c r="H170" i="5"/>
  <c r="N170" i="5"/>
  <c r="J170" i="5"/>
  <c r="F170" i="5"/>
  <c r="N172" i="5"/>
  <c r="L172" i="5"/>
  <c r="J172" i="5"/>
  <c r="H172" i="5"/>
  <c r="F172" i="5"/>
  <c r="D172" i="5"/>
  <c r="M172" i="5"/>
  <c r="I172" i="5"/>
  <c r="O172" i="5"/>
  <c r="K172" i="5"/>
  <c r="G172" i="5"/>
  <c r="P174" i="5" l="1"/>
  <c r="P171" i="5"/>
  <c r="P173" i="5"/>
  <c r="P172" i="5"/>
  <c r="O21" i="5"/>
  <c r="N21" i="5"/>
  <c r="D184" i="5"/>
  <c r="E205" i="5"/>
  <c r="F205" i="5"/>
  <c r="G205" i="5"/>
  <c r="H205" i="5"/>
  <c r="I205" i="5"/>
  <c r="J205" i="5"/>
  <c r="K205" i="5"/>
  <c r="L205" i="5"/>
  <c r="M205" i="5"/>
  <c r="N205" i="5"/>
  <c r="O205" i="5"/>
  <c r="D205" i="5"/>
  <c r="P197" i="5"/>
  <c r="P205" i="5" l="1"/>
  <c r="P64" i="5"/>
  <c r="P170" i="5" l="1"/>
  <c r="Q170" i="5" s="1"/>
  <c r="R170" i="5" s="1"/>
  <c r="Q71" i="5"/>
  <c r="R71" i="5" s="1"/>
  <c r="Q20" i="5"/>
  <c r="Q22" i="5"/>
  <c r="Q23" i="5"/>
  <c r="Q24" i="5"/>
  <c r="Q34" i="5"/>
  <c r="R34" i="5" s="1"/>
  <c r="Q46" i="5"/>
  <c r="Q47" i="5"/>
  <c r="Q48" i="5"/>
  <c r="Q49" i="5"/>
  <c r="Q51" i="5"/>
  <c r="Q52" i="5"/>
  <c r="Q57" i="5"/>
  <c r="Q59" i="5"/>
  <c r="Q61" i="5"/>
  <c r="Q62" i="5"/>
  <c r="Q63" i="5"/>
  <c r="Q64" i="5"/>
  <c r="R64" i="5" s="1"/>
  <c r="Q69" i="5"/>
  <c r="R69" i="5" s="1"/>
  <c r="Q70" i="5"/>
  <c r="R70" i="5" s="1"/>
  <c r="Q79" i="5"/>
  <c r="R79" i="5" s="1"/>
  <c r="Q83" i="5"/>
  <c r="Q84" i="5"/>
  <c r="Q91" i="5"/>
  <c r="R91" i="5" s="1"/>
  <c r="Q95" i="5"/>
  <c r="Q96" i="5"/>
  <c r="Q102" i="5"/>
  <c r="Q104" i="5"/>
  <c r="Q105" i="5"/>
  <c r="Q106" i="5"/>
  <c r="R106" i="5" s="1"/>
  <c r="Q108" i="5"/>
  <c r="R108" i="5" s="1"/>
  <c r="Q111" i="5"/>
  <c r="Q113" i="5"/>
  <c r="Q114" i="5"/>
  <c r="Q117" i="5"/>
  <c r="Q118" i="5"/>
  <c r="Q120" i="5"/>
  <c r="Q121" i="5"/>
  <c r="Q123" i="5"/>
  <c r="Q124" i="5"/>
  <c r="Q127" i="5"/>
  <c r="Q131" i="5"/>
  <c r="Q133" i="5"/>
  <c r="Q134" i="5"/>
  <c r="Q135" i="5"/>
  <c r="Q138" i="5"/>
  <c r="Q140" i="5"/>
  <c r="Q142" i="5"/>
  <c r="Q143" i="5"/>
  <c r="Q145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8" i="5"/>
  <c r="Q169" i="5"/>
  <c r="Q185" i="5"/>
  <c r="Q186" i="5"/>
  <c r="Q188" i="5"/>
  <c r="Q94" i="5" l="1"/>
  <c r="R94" i="5" s="1"/>
  <c r="E94" i="5"/>
  <c r="G94" i="5"/>
  <c r="I94" i="5"/>
  <c r="K94" i="5"/>
  <c r="M94" i="5"/>
  <c r="O94" i="5"/>
  <c r="D94" i="5"/>
  <c r="F94" i="5"/>
  <c r="H94" i="5"/>
  <c r="J94" i="5"/>
  <c r="L94" i="5"/>
  <c r="N94" i="5"/>
  <c r="C184" i="5"/>
  <c r="C167" i="5"/>
  <c r="R167" i="5" s="1"/>
  <c r="C146" i="5"/>
  <c r="C139" i="5"/>
  <c r="R139" i="5" s="1"/>
  <c r="C132" i="5"/>
  <c r="R132" i="5" s="1"/>
  <c r="C126" i="5"/>
  <c r="C116" i="5"/>
  <c r="C97" i="5"/>
  <c r="Q76" i="5"/>
  <c r="R76" i="5" s="1"/>
  <c r="Q74" i="5"/>
  <c r="R74" i="5" s="1"/>
  <c r="Q72" i="5"/>
  <c r="R72" i="5" s="1"/>
  <c r="C82" i="5"/>
  <c r="R56" i="5"/>
  <c r="C21" i="5"/>
  <c r="C10" i="5" l="1"/>
  <c r="Q97" i="5"/>
  <c r="R97" i="5"/>
  <c r="C141" i="5"/>
  <c r="C187" i="5" s="1"/>
  <c r="C58" i="5"/>
  <c r="R58" i="5" s="1"/>
  <c r="Q56" i="5"/>
  <c r="C50" i="5"/>
  <c r="C60" i="5" l="1"/>
  <c r="O132" i="5"/>
  <c r="N132" i="5"/>
  <c r="M132" i="5"/>
  <c r="L132" i="5"/>
  <c r="K132" i="5"/>
  <c r="J132" i="5"/>
  <c r="I132" i="5"/>
  <c r="H132" i="5"/>
  <c r="G132" i="5"/>
  <c r="F132" i="5"/>
  <c r="D132" i="5"/>
  <c r="P131" i="5"/>
  <c r="P130" i="5"/>
  <c r="Q130" i="5" s="1"/>
  <c r="Q171" i="5"/>
  <c r="R171" i="5" s="1"/>
  <c r="Q172" i="5"/>
  <c r="R172" i="5" s="1"/>
  <c r="Q173" i="5"/>
  <c r="R173" i="5" s="1"/>
  <c r="Q174" i="5"/>
  <c r="R174" i="5" s="1"/>
  <c r="E184" i="5"/>
  <c r="F184" i="5"/>
  <c r="G184" i="5"/>
  <c r="H184" i="5"/>
  <c r="I184" i="5"/>
  <c r="J184" i="5"/>
  <c r="K184" i="5"/>
  <c r="L184" i="5"/>
  <c r="M184" i="5"/>
  <c r="N184" i="5"/>
  <c r="O184" i="5"/>
  <c r="E132" i="5" l="1"/>
  <c r="P145" i="5"/>
  <c r="P184" i="5"/>
  <c r="Q184" i="5" s="1"/>
  <c r="R184" i="5" s="1"/>
  <c r="Q129" i="5" l="1"/>
  <c r="P115" i="5"/>
  <c r="Q115" i="5" s="1"/>
  <c r="R115" i="5" s="1"/>
  <c r="P132" i="5" l="1"/>
  <c r="Q132" i="5" s="1"/>
  <c r="E108" i="5" l="1"/>
  <c r="F108" i="5"/>
  <c r="G108" i="5"/>
  <c r="H108" i="5"/>
  <c r="I108" i="5"/>
  <c r="J108" i="5"/>
  <c r="K108" i="5"/>
  <c r="L108" i="5"/>
  <c r="M108" i="5"/>
  <c r="N108" i="5"/>
  <c r="O108" i="5"/>
  <c r="D108" i="5"/>
  <c r="Q107" i="5"/>
  <c r="R107" i="5" s="1"/>
  <c r="L91" i="5"/>
  <c r="F91" i="5"/>
  <c r="F95" i="5" l="1"/>
  <c r="G95" i="5"/>
  <c r="H95" i="5"/>
  <c r="I95" i="5"/>
  <c r="J95" i="5"/>
  <c r="K95" i="5"/>
  <c r="L95" i="5"/>
  <c r="M95" i="5"/>
  <c r="N95" i="5"/>
  <c r="O95" i="5"/>
  <c r="F96" i="5"/>
  <c r="G96" i="5"/>
  <c r="H96" i="5"/>
  <c r="I96" i="5"/>
  <c r="J96" i="5"/>
  <c r="K96" i="5"/>
  <c r="L96" i="5"/>
  <c r="M96" i="5"/>
  <c r="N96" i="5"/>
  <c r="O96" i="5"/>
  <c r="F97" i="5"/>
  <c r="G97" i="5"/>
  <c r="H97" i="5"/>
  <c r="I97" i="5"/>
  <c r="J97" i="5"/>
  <c r="K97" i="5"/>
  <c r="L97" i="5"/>
  <c r="M97" i="5"/>
  <c r="N97" i="5"/>
  <c r="O97" i="5"/>
  <c r="G85" i="5"/>
  <c r="H85" i="5"/>
  <c r="I85" i="5"/>
  <c r="J85" i="5"/>
  <c r="K85" i="5"/>
  <c r="L85" i="5"/>
  <c r="M85" i="5"/>
  <c r="N85" i="5"/>
  <c r="O85" i="5"/>
  <c r="C85" i="5" s="1"/>
  <c r="F85" i="5"/>
  <c r="E95" i="5"/>
  <c r="E96" i="5"/>
  <c r="E97" i="5"/>
  <c r="E85" i="5"/>
  <c r="D95" i="5"/>
  <c r="D96" i="5"/>
  <c r="D97" i="5"/>
  <c r="D85" i="5"/>
  <c r="Q85" i="5" l="1"/>
  <c r="R85" i="5"/>
  <c r="Q89" i="5"/>
  <c r="R89" i="5" s="1"/>
  <c r="Q80" i="5"/>
  <c r="R80" i="5" s="1"/>
  <c r="D70" i="5"/>
  <c r="E70" i="5"/>
  <c r="F70" i="5"/>
  <c r="G70" i="5"/>
  <c r="H70" i="5"/>
  <c r="I70" i="5"/>
  <c r="J70" i="5"/>
  <c r="K70" i="5"/>
  <c r="L70" i="5"/>
  <c r="M70" i="5"/>
  <c r="N70" i="5"/>
  <c r="O70" i="5"/>
  <c r="Q77" i="5" l="1"/>
  <c r="R77" i="5" s="1"/>
  <c r="P55" i="5" l="1"/>
  <c r="Q55" i="5" s="1"/>
  <c r="P54" i="5"/>
  <c r="Q54" i="5" s="1"/>
  <c r="P53" i="5"/>
  <c r="Q53" i="5" s="1"/>
  <c r="D39" i="5" l="1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O38" i="5"/>
  <c r="N38" i="5"/>
  <c r="M38" i="5"/>
  <c r="L38" i="5"/>
  <c r="K38" i="5"/>
  <c r="J38" i="5"/>
  <c r="I38" i="5"/>
  <c r="H38" i="5"/>
  <c r="G38" i="5"/>
  <c r="F38" i="5"/>
  <c r="E38" i="5"/>
  <c r="D38" i="5"/>
  <c r="D28" i="5"/>
  <c r="E28" i="5"/>
  <c r="F28" i="5"/>
  <c r="G28" i="5"/>
  <c r="H28" i="5"/>
  <c r="I28" i="5"/>
  <c r="J28" i="5"/>
  <c r="K28" i="5"/>
  <c r="L28" i="5"/>
  <c r="M28" i="5"/>
  <c r="N28" i="5"/>
  <c r="O28" i="5"/>
  <c r="D29" i="5"/>
  <c r="E29" i="5"/>
  <c r="F29" i="5"/>
  <c r="G29" i="5"/>
  <c r="H29" i="5"/>
  <c r="I29" i="5"/>
  <c r="J29" i="5"/>
  <c r="K29" i="5"/>
  <c r="L29" i="5"/>
  <c r="M29" i="5"/>
  <c r="N29" i="5"/>
  <c r="O29" i="5"/>
  <c r="D30" i="5"/>
  <c r="E30" i="5"/>
  <c r="F30" i="5"/>
  <c r="G30" i="5"/>
  <c r="H30" i="5"/>
  <c r="I30" i="5"/>
  <c r="J30" i="5"/>
  <c r="K30" i="5"/>
  <c r="L30" i="5"/>
  <c r="M30" i="5"/>
  <c r="N30" i="5"/>
  <c r="O30" i="5"/>
  <c r="D31" i="5"/>
  <c r="E31" i="5"/>
  <c r="F31" i="5"/>
  <c r="G31" i="5"/>
  <c r="H31" i="5"/>
  <c r="I31" i="5"/>
  <c r="J31" i="5"/>
  <c r="K31" i="5"/>
  <c r="L31" i="5"/>
  <c r="M31" i="5"/>
  <c r="N31" i="5"/>
  <c r="O31" i="5"/>
  <c r="D32" i="5"/>
  <c r="E32" i="5"/>
  <c r="F32" i="5"/>
  <c r="G32" i="5"/>
  <c r="H32" i="5"/>
  <c r="I32" i="5"/>
  <c r="J32" i="5"/>
  <c r="K32" i="5"/>
  <c r="L32" i="5"/>
  <c r="M32" i="5"/>
  <c r="N32" i="5"/>
  <c r="O32" i="5"/>
  <c r="E27" i="5"/>
  <c r="F27" i="5"/>
  <c r="G27" i="5"/>
  <c r="H27" i="5"/>
  <c r="I27" i="5"/>
  <c r="J27" i="5"/>
  <c r="K27" i="5"/>
  <c r="L27" i="5"/>
  <c r="M27" i="5"/>
  <c r="N27" i="5"/>
  <c r="O27" i="5"/>
  <c r="D26" i="5"/>
  <c r="E26" i="5"/>
  <c r="F26" i="5"/>
  <c r="G26" i="5"/>
  <c r="H26" i="5"/>
  <c r="I26" i="5"/>
  <c r="J26" i="5"/>
  <c r="K26" i="5"/>
  <c r="L26" i="5"/>
  <c r="M26" i="5"/>
  <c r="N26" i="5"/>
  <c r="O26" i="5"/>
  <c r="P17" i="12"/>
  <c r="O17" i="12"/>
  <c r="N17" i="12"/>
  <c r="M17" i="12"/>
  <c r="L17" i="12"/>
  <c r="K17" i="12"/>
  <c r="J17" i="12"/>
  <c r="I17" i="12"/>
  <c r="H17" i="12"/>
  <c r="G17" i="12"/>
  <c r="F17" i="12"/>
  <c r="E17" i="12"/>
  <c r="Q13" i="12"/>
  <c r="Q12" i="12"/>
  <c r="Q11" i="12"/>
  <c r="Q10" i="12"/>
  <c r="Q9" i="12"/>
  <c r="Q8" i="12"/>
  <c r="Q7" i="12"/>
  <c r="C7" i="12"/>
  <c r="C16" i="12" s="1"/>
  <c r="Q6" i="12"/>
  <c r="P15" i="11"/>
  <c r="O15" i="11"/>
  <c r="N15" i="11"/>
  <c r="M15" i="11"/>
  <c r="L15" i="11"/>
  <c r="K15" i="11"/>
  <c r="J15" i="11"/>
  <c r="I15" i="11"/>
  <c r="H15" i="11"/>
  <c r="G15" i="11"/>
  <c r="F15" i="11"/>
  <c r="E15" i="11"/>
  <c r="Q13" i="11"/>
  <c r="Q12" i="11"/>
  <c r="Q11" i="11"/>
  <c r="Q10" i="11"/>
  <c r="Q9" i="11"/>
  <c r="Q8" i="11"/>
  <c r="Q7" i="11"/>
  <c r="C7" i="11"/>
  <c r="C14" i="11" s="1"/>
  <c r="Q6" i="11"/>
  <c r="Q17" i="12" l="1"/>
  <c r="Q15" i="11"/>
  <c r="P44" i="5"/>
  <c r="Q44" i="5" s="1"/>
  <c r="R44" i="5" s="1"/>
  <c r="P42" i="5"/>
  <c r="Q42" i="5" s="1"/>
  <c r="R42" i="5" s="1"/>
  <c r="P40" i="5"/>
  <c r="Q40" i="5" s="1"/>
  <c r="R40" i="5" s="1"/>
  <c r="P45" i="5"/>
  <c r="Q45" i="5" s="1"/>
  <c r="R45" i="5" s="1"/>
  <c r="P43" i="5"/>
  <c r="Q43" i="5" s="1"/>
  <c r="R43" i="5" s="1"/>
  <c r="P41" i="5"/>
  <c r="Q41" i="5" s="1"/>
  <c r="R41" i="5" s="1"/>
  <c r="P39" i="5"/>
  <c r="Q39" i="5" s="1"/>
  <c r="R39" i="5" s="1"/>
  <c r="P27" i="5"/>
  <c r="Q27" i="5" s="1"/>
  <c r="R27" i="5" s="1"/>
  <c r="P26" i="5"/>
  <c r="Q26" i="5" s="1"/>
  <c r="R26" i="5" s="1"/>
  <c r="P32" i="5"/>
  <c r="Q32" i="5" s="1"/>
  <c r="R32" i="5" s="1"/>
  <c r="P31" i="5"/>
  <c r="Q31" i="5" s="1"/>
  <c r="R31" i="5" s="1"/>
  <c r="P30" i="5"/>
  <c r="Q30" i="5" s="1"/>
  <c r="R30" i="5" s="1"/>
  <c r="P29" i="5"/>
  <c r="Q29" i="5" s="1"/>
  <c r="R29" i="5" s="1"/>
  <c r="P28" i="5"/>
  <c r="Q28" i="5" s="1"/>
  <c r="R28" i="5" s="1"/>
  <c r="C7" i="10" l="1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12" i="5"/>
  <c r="Q12" i="5" s="1"/>
  <c r="R12" i="5" s="1"/>
  <c r="P17" i="5"/>
  <c r="Q17" i="5" s="1"/>
  <c r="R17" i="5" s="1"/>
  <c r="P15" i="5"/>
  <c r="Q15" i="5" s="1"/>
  <c r="R15" i="5" s="1"/>
  <c r="P18" i="5"/>
  <c r="Q18" i="5" s="1"/>
  <c r="R18" i="5" s="1"/>
  <c r="P16" i="5"/>
  <c r="Q16" i="5" s="1"/>
  <c r="R16" i="5" s="1"/>
  <c r="P14" i="5"/>
  <c r="Q14" i="5" s="1"/>
  <c r="R14" i="5" s="1"/>
  <c r="P11" i="5"/>
  <c r="Q11" i="5" l="1"/>
  <c r="P21" i="5"/>
  <c r="P10" i="5"/>
  <c r="Q10" i="5" s="1"/>
  <c r="R10" i="5" s="1"/>
  <c r="R11" i="5" l="1"/>
  <c r="Q21" i="5"/>
  <c r="Q6" i="9"/>
  <c r="Q7" i="9"/>
  <c r="Q8" i="9"/>
  <c r="Q9" i="9"/>
  <c r="Q10" i="9"/>
  <c r="Q11" i="9"/>
  <c r="Q12" i="9"/>
  <c r="Q13" i="9"/>
  <c r="Q5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C18" i="9"/>
  <c r="Q18" i="9" l="1"/>
  <c r="Q19" i="9"/>
  <c r="E25" i="5" l="1"/>
  <c r="F25" i="5"/>
  <c r="G25" i="5"/>
  <c r="H25" i="5"/>
  <c r="I25" i="5"/>
  <c r="J25" i="5"/>
  <c r="K25" i="5"/>
  <c r="L25" i="5"/>
  <c r="M25" i="5"/>
  <c r="N25" i="5"/>
  <c r="O25" i="5"/>
  <c r="D25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D139" i="5" l="1"/>
  <c r="E139" i="5"/>
  <c r="F139" i="5"/>
  <c r="G139" i="5"/>
  <c r="H139" i="5"/>
  <c r="I139" i="5"/>
  <c r="J139" i="5"/>
  <c r="K139" i="5"/>
  <c r="L139" i="5"/>
  <c r="M139" i="5"/>
  <c r="N139" i="5"/>
  <c r="O139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37" i="5"/>
  <c r="Q137" i="5" s="1"/>
  <c r="Q136" i="5"/>
  <c r="P144" i="5"/>
  <c r="Q144" i="5" s="1"/>
  <c r="R144" i="5" s="1"/>
  <c r="D116" i="5"/>
  <c r="E116" i="5"/>
  <c r="F116" i="5"/>
  <c r="G116" i="5"/>
  <c r="H116" i="5"/>
  <c r="I116" i="5"/>
  <c r="J116" i="5"/>
  <c r="K116" i="5"/>
  <c r="L116" i="5"/>
  <c r="M116" i="5"/>
  <c r="N116" i="5"/>
  <c r="O116" i="5"/>
  <c r="P125" i="5"/>
  <c r="P126" i="5" l="1"/>
  <c r="Q126" i="5" s="1"/>
  <c r="R126" i="5" s="1"/>
  <c r="Q125" i="5"/>
  <c r="R125" i="5" s="1"/>
  <c r="P20" i="10"/>
  <c r="O20" i="10"/>
  <c r="N20" i="10"/>
  <c r="M20" i="10"/>
  <c r="L20" i="10"/>
  <c r="K20" i="10"/>
  <c r="J20" i="10"/>
  <c r="H20" i="10"/>
  <c r="G20" i="10"/>
  <c r="F20" i="10"/>
  <c r="E20" i="10"/>
  <c r="C19" i="10"/>
  <c r="Q13" i="10"/>
  <c r="I20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F88" i="4"/>
  <c r="F87" i="4"/>
  <c r="F86" i="4"/>
  <c r="P138" i="5"/>
  <c r="F78" i="4" s="1"/>
  <c r="F74" i="4"/>
  <c r="P116" i="5"/>
  <c r="Q116" i="5" s="1"/>
  <c r="R116" i="5" s="1"/>
  <c r="F54" i="4"/>
  <c r="F51" i="4"/>
  <c r="Q100" i="5"/>
  <c r="R100" i="5" s="1"/>
  <c r="Q99" i="5"/>
  <c r="R99" i="5" s="1"/>
  <c r="P98" i="5"/>
  <c r="C98" i="5" s="1"/>
  <c r="F43" i="4"/>
  <c r="P93" i="5"/>
  <c r="C93" i="5" s="1"/>
  <c r="P92" i="5"/>
  <c r="P88" i="5"/>
  <c r="C88" i="5" s="1"/>
  <c r="P87" i="5"/>
  <c r="C87" i="5" s="1"/>
  <c r="P86" i="5"/>
  <c r="C86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87" i="5" l="1"/>
  <c r="R87" i="5"/>
  <c r="Q92" i="5"/>
  <c r="R92" i="5"/>
  <c r="Q86" i="5"/>
  <c r="R86" i="5"/>
  <c r="Q88" i="5"/>
  <c r="R88" i="5"/>
  <c r="Q93" i="5"/>
  <c r="R93" i="5"/>
  <c r="Q98" i="5"/>
  <c r="R98" i="5"/>
  <c r="R56" i="6"/>
  <c r="Q20" i="6"/>
  <c r="Q31" i="6"/>
  <c r="Q49" i="6"/>
  <c r="F52" i="4" s="1"/>
  <c r="Q64" i="6"/>
  <c r="Q65" i="6"/>
  <c r="Q75" i="6"/>
  <c r="C103" i="5"/>
  <c r="F87" i="5"/>
  <c r="H87" i="5"/>
  <c r="J87" i="5"/>
  <c r="L87" i="5"/>
  <c r="N87" i="5"/>
  <c r="D87" i="5"/>
  <c r="G87" i="5"/>
  <c r="I87" i="5"/>
  <c r="K87" i="5"/>
  <c r="M87" i="5"/>
  <c r="O87" i="5"/>
  <c r="E87" i="5"/>
  <c r="F41" i="4"/>
  <c r="F92" i="5"/>
  <c r="H92" i="5"/>
  <c r="J92" i="5"/>
  <c r="L92" i="5"/>
  <c r="N92" i="5"/>
  <c r="D92" i="5"/>
  <c r="G92" i="5"/>
  <c r="I92" i="5"/>
  <c r="K92" i="5"/>
  <c r="M92" i="5"/>
  <c r="O92" i="5"/>
  <c r="E92" i="5"/>
  <c r="F45" i="4"/>
  <c r="F99" i="5"/>
  <c r="H99" i="5"/>
  <c r="J99" i="5"/>
  <c r="L99" i="5"/>
  <c r="N99" i="5"/>
  <c r="D99" i="5"/>
  <c r="G99" i="5"/>
  <c r="I99" i="5"/>
  <c r="K99" i="5"/>
  <c r="O99" i="5"/>
  <c r="M99" i="5"/>
  <c r="E99" i="5"/>
  <c r="F86" i="5"/>
  <c r="H86" i="5"/>
  <c r="J86" i="5"/>
  <c r="L86" i="5"/>
  <c r="N86" i="5"/>
  <c r="E86" i="5"/>
  <c r="D86" i="5"/>
  <c r="G86" i="5"/>
  <c r="I86" i="5"/>
  <c r="K86" i="5"/>
  <c r="M86" i="5"/>
  <c r="O86" i="5"/>
  <c r="F88" i="5"/>
  <c r="H88" i="5"/>
  <c r="J88" i="5"/>
  <c r="L88" i="5"/>
  <c r="N88" i="5"/>
  <c r="E88" i="5"/>
  <c r="G88" i="5"/>
  <c r="I88" i="5"/>
  <c r="K88" i="5"/>
  <c r="M88" i="5"/>
  <c r="O88" i="5"/>
  <c r="D88" i="5"/>
  <c r="F93" i="5"/>
  <c r="H93" i="5"/>
  <c r="J93" i="5"/>
  <c r="L93" i="5"/>
  <c r="N93" i="5"/>
  <c r="E93" i="5"/>
  <c r="G93" i="5"/>
  <c r="I93" i="5"/>
  <c r="K93" i="5"/>
  <c r="M93" i="5"/>
  <c r="O93" i="5"/>
  <c r="D93" i="5"/>
  <c r="F44" i="4"/>
  <c r="F98" i="5"/>
  <c r="H98" i="5"/>
  <c r="J98" i="5"/>
  <c r="L98" i="5"/>
  <c r="N98" i="5"/>
  <c r="E98" i="5"/>
  <c r="G98" i="5"/>
  <c r="I98" i="5"/>
  <c r="K98" i="5"/>
  <c r="M98" i="5"/>
  <c r="O98" i="5"/>
  <c r="D98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26" i="5"/>
  <c r="N126" i="5"/>
  <c r="L126" i="5"/>
  <c r="J126" i="5"/>
  <c r="H126" i="5"/>
  <c r="F126" i="5"/>
  <c r="O126" i="5"/>
  <c r="M126" i="5"/>
  <c r="K126" i="5"/>
  <c r="I126" i="5"/>
  <c r="G126" i="5"/>
  <c r="G141" i="5" s="1"/>
  <c r="E126" i="5"/>
  <c r="P167" i="5"/>
  <c r="Q167" i="5" s="1"/>
  <c r="P146" i="5"/>
  <c r="Q146" i="5" s="1"/>
  <c r="R146" i="5" s="1"/>
  <c r="O37" i="5"/>
  <c r="M37" i="5"/>
  <c r="K37" i="5"/>
  <c r="I37" i="5"/>
  <c r="G37" i="5"/>
  <c r="E37" i="5"/>
  <c r="N37" i="5"/>
  <c r="L37" i="5"/>
  <c r="J37" i="5"/>
  <c r="H37" i="5"/>
  <c r="F37" i="5"/>
  <c r="D37" i="5"/>
  <c r="P38" i="5"/>
  <c r="Q38" i="5" s="1"/>
  <c r="R38" i="5" s="1"/>
  <c r="Q20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F70" i="4"/>
  <c r="P139" i="5"/>
  <c r="P141" i="5" s="1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41" i="5" l="1"/>
  <c r="K187" i="5" s="1"/>
  <c r="O141" i="5"/>
  <c r="O187" i="5" s="1"/>
  <c r="H141" i="5"/>
  <c r="H187" i="5" s="1"/>
  <c r="L141" i="5"/>
  <c r="L187" i="5" s="1"/>
  <c r="D141" i="5"/>
  <c r="D187" i="5" s="1"/>
  <c r="E141" i="5"/>
  <c r="E187" i="5" s="1"/>
  <c r="I141" i="5"/>
  <c r="I187" i="5" s="1"/>
  <c r="M141" i="5"/>
  <c r="M187" i="5" s="1"/>
  <c r="F141" i="5"/>
  <c r="F187" i="5" s="1"/>
  <c r="J141" i="5"/>
  <c r="J187" i="5" s="1"/>
  <c r="N141" i="5"/>
  <c r="N187" i="5" s="1"/>
  <c r="Q141" i="5"/>
  <c r="R141" i="5" s="1"/>
  <c r="Q139" i="5"/>
  <c r="E62" i="6"/>
  <c r="E67" i="6" s="1"/>
  <c r="G187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06" i="5"/>
  <c r="M106" i="5"/>
  <c r="F106" i="5"/>
  <c r="N106" i="5"/>
  <c r="D106" i="5"/>
  <c r="E106" i="5"/>
  <c r="K56" i="6"/>
  <c r="K62" i="6" s="1"/>
  <c r="K67" i="6" s="1"/>
  <c r="K76" i="6" s="1"/>
  <c r="E58" i="6"/>
  <c r="G106" i="5"/>
  <c r="K106" i="5"/>
  <c r="O106" i="5"/>
  <c r="J106" i="5"/>
  <c r="H106" i="5"/>
  <c r="L106" i="5"/>
  <c r="F50" i="5"/>
  <c r="J50" i="5"/>
  <c r="N50" i="5"/>
  <c r="E50" i="5"/>
  <c r="I50" i="5"/>
  <c r="M50" i="5"/>
  <c r="D50" i="5"/>
  <c r="H50" i="5"/>
  <c r="L50" i="5"/>
  <c r="G50" i="5"/>
  <c r="K50" i="5"/>
  <c r="O50" i="5"/>
  <c r="F28" i="4"/>
  <c r="P25" i="5"/>
  <c r="R21" i="5"/>
  <c r="P37" i="5"/>
  <c r="D89" i="8"/>
  <c r="D92" i="8"/>
  <c r="D91" i="8"/>
  <c r="D90" i="8"/>
  <c r="O14" i="8"/>
  <c r="W10" i="8"/>
  <c r="B66" i="8"/>
  <c r="B68" i="8" s="1"/>
  <c r="P29" i="6"/>
  <c r="L29" i="6"/>
  <c r="H29" i="6"/>
  <c r="N29" i="6"/>
  <c r="J29" i="6"/>
  <c r="F29" i="6"/>
  <c r="Q10" i="6"/>
  <c r="P187" i="5" l="1"/>
  <c r="Q187" i="5" s="1"/>
  <c r="R187" i="5" s="1"/>
  <c r="F16" i="4"/>
  <c r="Q25" i="5"/>
  <c r="R25" i="5" s="1"/>
  <c r="F18" i="4"/>
  <c r="Q37" i="5"/>
  <c r="R37" i="5" s="1"/>
  <c r="F10" i="4"/>
  <c r="Q29" i="6"/>
  <c r="P50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50" i="5"/>
  <c r="R50" i="5" s="1"/>
  <c r="P14" i="8"/>
  <c r="W11" i="8"/>
  <c r="W14" i="8" s="1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F67" i="6" l="1"/>
  <c r="Q62" i="6"/>
  <c r="F76" i="6" l="1"/>
  <c r="Q76" i="6" s="1"/>
  <c r="Q67" i="6"/>
  <c r="H58" i="5" l="1"/>
  <c r="H60" i="5" s="1"/>
  <c r="H81" i="5" s="1"/>
  <c r="G58" i="5"/>
  <c r="G60" i="5" s="1"/>
  <c r="G81" i="5" s="1"/>
  <c r="N58" i="5"/>
  <c r="N60" i="5" s="1"/>
  <c r="N81" i="5" s="1"/>
  <c r="P58" i="5"/>
  <c r="M58" i="5"/>
  <c r="M60" i="5" s="1"/>
  <c r="M81" i="5" s="1"/>
  <c r="O58" i="5"/>
  <c r="O60" i="5" s="1"/>
  <c r="O81" i="5" s="1"/>
  <c r="E58" i="5"/>
  <c r="E60" i="5" s="1"/>
  <c r="E81" i="5" s="1"/>
  <c r="L58" i="5"/>
  <c r="L60" i="5" s="1"/>
  <c r="L81" i="5" s="1"/>
  <c r="K58" i="5"/>
  <c r="K60" i="5" s="1"/>
  <c r="K81" i="5" s="1"/>
  <c r="I58" i="5"/>
  <c r="I60" i="5" s="1"/>
  <c r="I81" i="5" s="1"/>
  <c r="J58" i="5"/>
  <c r="J60" i="5" s="1"/>
  <c r="J81" i="5" s="1"/>
  <c r="D58" i="5"/>
  <c r="D60" i="5" s="1"/>
  <c r="D81" i="5" s="1"/>
  <c r="F58" i="5"/>
  <c r="F60" i="5" s="1"/>
  <c r="F81" i="5" s="1"/>
  <c r="J72" i="5"/>
  <c r="O72" i="5"/>
  <c r="E72" i="5"/>
  <c r="L72" i="5"/>
  <c r="F72" i="5"/>
  <c r="H72" i="5"/>
  <c r="G72" i="5"/>
  <c r="N72" i="5"/>
  <c r="K72" i="5"/>
  <c r="I72" i="5"/>
  <c r="M72" i="5"/>
  <c r="F29" i="4"/>
  <c r="F30" i="4"/>
  <c r="F32" i="4"/>
  <c r="F33" i="4"/>
  <c r="D72" i="5"/>
  <c r="P81" i="5" l="1"/>
  <c r="Q81" i="5" s="1"/>
  <c r="R81" i="5" s="1"/>
  <c r="P60" i="5"/>
  <c r="Q60" i="5" s="1"/>
  <c r="R60" i="5" s="1"/>
  <c r="Q58" i="5"/>
  <c r="F31" i="4"/>
  <c r="Q78" i="5"/>
  <c r="R78" i="5" s="1"/>
  <c r="P90" i="5"/>
  <c r="Q90" i="5" s="1"/>
  <c r="R90" i="5" s="1"/>
  <c r="F40" i="4" l="1"/>
  <c r="D103" i="5"/>
  <c r="O103" i="5"/>
  <c r="L103" i="5"/>
  <c r="M103" i="5"/>
  <c r="E103" i="5"/>
  <c r="J103" i="5"/>
  <c r="G103" i="5"/>
  <c r="H103" i="5"/>
  <c r="I103" i="5"/>
  <c r="N103" i="5"/>
  <c r="K103" i="5"/>
  <c r="P101" i="5"/>
  <c r="F103" i="5"/>
  <c r="P103" i="5" l="1"/>
  <c r="Q103" i="5" s="1"/>
  <c r="R103" i="5" s="1"/>
  <c r="Q101" i="5"/>
  <c r="M109" i="5" l="1"/>
  <c r="M112" i="5" s="1"/>
  <c r="J109" i="5"/>
  <c r="J112" i="5" s="1"/>
  <c r="K109" i="5"/>
  <c r="K112" i="5" s="1"/>
  <c r="G109" i="5"/>
  <c r="G112" i="5" s="1"/>
  <c r="H109" i="5"/>
  <c r="H112" i="5" s="1"/>
  <c r="L109" i="5"/>
  <c r="L112" i="5" s="1"/>
  <c r="N109" i="5"/>
  <c r="N112" i="5" s="1"/>
  <c r="I109" i="5"/>
  <c r="I112" i="5" s="1"/>
  <c r="E109" i="5"/>
  <c r="E112" i="5" s="1"/>
  <c r="O109" i="5"/>
  <c r="O112" i="5" s="1"/>
  <c r="F109" i="5"/>
  <c r="F112" i="5" s="1"/>
  <c r="C109" i="5"/>
  <c r="D109" i="5"/>
  <c r="Q109" i="5" l="1"/>
  <c r="R109" i="5"/>
  <c r="C112" i="5"/>
  <c r="F53" i="4"/>
  <c r="C119" i="5" l="1"/>
  <c r="C122" i="5" l="1"/>
  <c r="C189" i="5" l="1"/>
  <c r="Q73" i="5" l="1"/>
  <c r="R73" i="5"/>
  <c r="D82" i="5"/>
  <c r="O82" i="5" l="1"/>
  <c r="O119" i="5" s="1"/>
  <c r="O122" i="5" s="1"/>
  <c r="O189" i="5" s="1"/>
  <c r="O208" i="5" s="1"/>
  <c r="K82" i="5"/>
  <c r="K119" i="5" s="1"/>
  <c r="K122" i="5" s="1"/>
  <c r="K189" i="5" s="1"/>
  <c r="K208" i="5" s="1"/>
  <c r="N82" i="5"/>
  <c r="N119" i="5" s="1"/>
  <c r="N122" i="5" s="1"/>
  <c r="N189" i="5" s="1"/>
  <c r="N208" i="5" s="1"/>
  <c r="F82" i="5"/>
  <c r="F119" i="5" s="1"/>
  <c r="F122" i="5" s="1"/>
  <c r="F189" i="5" s="1"/>
  <c r="F208" i="5" s="1"/>
  <c r="G82" i="5"/>
  <c r="G119" i="5" s="1"/>
  <c r="G122" i="5" s="1"/>
  <c r="G189" i="5" s="1"/>
  <c r="G208" i="5" s="1"/>
  <c r="I82" i="5"/>
  <c r="I119" i="5" s="1"/>
  <c r="I122" i="5" s="1"/>
  <c r="I189" i="5" s="1"/>
  <c r="I208" i="5" s="1"/>
  <c r="M82" i="5"/>
  <c r="M119" i="5" s="1"/>
  <c r="M122" i="5" s="1"/>
  <c r="M189" i="5" s="1"/>
  <c r="M208" i="5" s="1"/>
  <c r="H82" i="5"/>
  <c r="H119" i="5" s="1"/>
  <c r="H122" i="5" s="1"/>
  <c r="H189" i="5" s="1"/>
  <c r="H208" i="5" s="1"/>
  <c r="E82" i="5"/>
  <c r="E119" i="5" s="1"/>
  <c r="E122" i="5" s="1"/>
  <c r="E189" i="5" s="1"/>
  <c r="J82" i="5"/>
  <c r="J119" i="5" s="1"/>
  <c r="J122" i="5" s="1"/>
  <c r="J189" i="5" s="1"/>
  <c r="J208" i="5" s="1"/>
  <c r="P73" i="5"/>
  <c r="P82" i="5" s="1"/>
  <c r="L82" i="5"/>
  <c r="L119" i="5" s="1"/>
  <c r="L122" i="5" s="1"/>
  <c r="L189" i="5" s="1"/>
  <c r="L208" i="5" s="1"/>
  <c r="Q82" i="5" l="1"/>
  <c r="R82" i="5" s="1"/>
  <c r="E208" i="5"/>
  <c r="Q110" i="5"/>
  <c r="R110" i="5" s="1"/>
  <c r="D112" i="5"/>
  <c r="D119" i="5" s="1"/>
  <c r="D122" i="5" s="1"/>
  <c r="D189" i="5" s="1"/>
  <c r="P112" i="5"/>
  <c r="Q112" i="5" s="1"/>
  <c r="R112" i="5" s="1"/>
  <c r="D208" i="5" l="1"/>
  <c r="D192" i="5"/>
  <c r="E191" i="5" s="1"/>
  <c r="E192" i="5" s="1"/>
  <c r="F191" i="5" s="1"/>
  <c r="F192" i="5" s="1"/>
  <c r="G191" i="5" s="1"/>
  <c r="G192" i="5" s="1"/>
  <c r="H191" i="5" s="1"/>
  <c r="H192" i="5" s="1"/>
  <c r="I191" i="5" s="1"/>
  <c r="I192" i="5" s="1"/>
  <c r="J191" i="5" s="1"/>
  <c r="J192" i="5" s="1"/>
  <c r="K191" i="5" s="1"/>
  <c r="K192" i="5" s="1"/>
  <c r="L191" i="5" s="1"/>
  <c r="L192" i="5" s="1"/>
  <c r="M191" i="5" s="1"/>
  <c r="M192" i="5" s="1"/>
  <c r="N191" i="5" s="1"/>
  <c r="N192" i="5" s="1"/>
  <c r="O191" i="5" s="1"/>
  <c r="O192" i="5" s="1"/>
  <c r="P119" i="5"/>
  <c r="Q119" i="5" l="1"/>
  <c r="R119" i="5" s="1"/>
  <c r="P122" i="5"/>
  <c r="Q122" i="5" l="1"/>
  <c r="R122" i="5" s="1"/>
  <c r="P189" i="5"/>
  <c r="P208" i="5" l="1"/>
  <c r="Q189" i="5"/>
  <c r="R189" i="5" s="1"/>
</calcChain>
</file>

<file path=xl/sharedStrings.xml><?xml version="1.0" encoding="utf-8"?>
<sst xmlns="http://schemas.openxmlformats.org/spreadsheetml/2006/main" count="981" uniqueCount="534">
  <si>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</si>
  <si>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</si>
  <si>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</si>
  <si>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</si>
  <si>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</si>
  <si>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</si>
  <si>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</si>
  <si>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</si>
  <si>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</si>
  <si>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</si>
  <si>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</si>
  <si>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</si>
  <si>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</si>
  <si>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</si>
  <si>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</si>
  <si>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</si>
  <si>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</si>
  <si>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</si>
  <si>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</si>
  <si>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</si>
  <si>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</si>
  <si>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</si>
  <si>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</si>
  <si>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</si>
  <si>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</si>
  <si>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</si>
  <si>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</si>
  <si>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</si>
  <si>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</si>
  <si>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</si>
  <si>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</si>
  <si>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</si>
  <si>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</si>
  <si>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</si>
  <si>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</si>
  <si>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</si>
  <si>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</si>
  <si>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</si>
  <si>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</si>
  <si>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</si>
  <si>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</si>
  <si>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</si>
  <si>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</si>
  <si>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</si>
  <si>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</si>
  <si>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</si>
  <si>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</si>
  <si>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</si>
  <si>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</si>
  <si>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</si>
  <si>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</si>
  <si>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</si>
  <si>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</si>
  <si>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</si>
  <si>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</si>
  <si>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</si>
  <si>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</si>
  <si>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</si>
  <si>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</si>
  <si>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</si>
  <si>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</si>
  <si>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</si>
  <si>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</si>
  <si>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</si>
  <si>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</si>
  <si>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</si>
  <si>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</si>
  <si>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</si>
  <si>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</si>
  <si>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</si>
  <si>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</si>
  <si>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</si>
  <si>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</si>
  <si>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</si>
  <si>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</si>
  <si>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</si>
  <si>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</si>
  <si>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</si>
  <si>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</si>
  <si>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</si>
  <si>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</si>
  <si>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</si>
  <si>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</si>
  <si>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</si>
  <si>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</si>
  <si>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</si>
  <si>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</si>
  <si>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</si>
  <si>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</si>
  <si>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</si>
  <si>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</si>
  <si>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</si>
  <si>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</si>
  <si>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</si>
  <si>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</si>
  <si>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</si>
  <si>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</si>
  <si>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</si>
  <si>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</si>
  <si>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</si>
  <si>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</si>
  <si>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</si>
  <si>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</si>
  <si>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</si>
  <si>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</si>
  <si>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</si>
  <si>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</si>
  <si>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</si>
  <si>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</si>
  <si>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</si>
  <si>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</si>
  <si>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</si>
  <si>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</si>
  <si>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</si>
  <si>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</si>
  <si>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</si>
  <si>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</si>
  <si>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</si>
  <si>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</si>
  <si>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</si>
  <si>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</si>
  <si>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</si>
  <si>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</si>
  <si>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</si>
  <si>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</si>
  <si>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</si>
  <si>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</si>
  <si>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</si>
  <si>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</si>
  <si>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</si>
  <si>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</si>
  <si>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</si>
  <si>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</si>
  <si>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</si>
  <si>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</si>
  <si>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</si>
  <si>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</si>
  <si>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</si>
  <si>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</si>
  <si>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</si>
  <si>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</si>
  <si>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</si>
  <si>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</si>
  <si>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</si>
  <si>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</si>
  <si>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</si>
  <si>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</si>
  <si>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</si>
  <si>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</si>
  <si>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</si>
  <si>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</si>
  <si>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</si>
  <si>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</si>
  <si>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</si>
  <si>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</si>
  <si>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</si>
  <si>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</si>
  <si>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</si>
  <si>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</si>
  <si>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</si>
  <si>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</si>
  <si>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</si>
  <si>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</si>
  <si>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</si>
  <si>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</si>
  <si>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</si>
  <si>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</si>
  <si>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</si>
  <si>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</si>
  <si>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</si>
  <si>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</si>
  <si>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</si>
  <si>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</si>
  <si>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</si>
  <si>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</si>
  <si>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</si>
  <si>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</si>
  <si>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</si>
  <si>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</si>
  <si>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</si>
  <si>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</si>
  <si>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</si>
  <si>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</si>
  <si>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</si>
  <si>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</si>
  <si>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</si>
  <si>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</si>
  <si>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</si>
  <si>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</si>
  <si>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</si>
  <si>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</si>
  <si>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</si>
  <si>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</si>
  <si>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</si>
  <si>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</si>
  <si>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</si>
  <si>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</si>
  <si>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</si>
  <si>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</si>
  <si>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</si>
  <si>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</si>
  <si>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</si>
  <si>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</si>
  <si>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</si>
  <si>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</si>
  <si>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</si>
  <si>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</si>
  <si>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</si>
  <si>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</si>
  <si>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</si>
  <si>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</si>
  <si>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</si>
  <si>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</si>
  <si>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</si>
  <si>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</si>
  <si>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</si>
  <si>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</si>
  <si>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</si>
  <si>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</si>
  <si>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</si>
  <si>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</si>
  <si>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</si>
  <si>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</si>
  <si>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</si>
  <si>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</si>
  <si>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</si>
  <si>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</si>
  <si>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</si>
  <si>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</si>
  <si>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</si>
  <si>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</si>
  <si>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</si>
  <si>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</si>
  <si>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</si>
  <si>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</si>
  <si>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</si>
  <si>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</si>
  <si>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</si>
  <si>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</si>
  <si>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</si>
  <si>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</si>
  <si>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</si>
  <si>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</si>
  <si>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</si>
  <si>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</si>
  <si>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</si>
  <si>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</si>
  <si>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</si>
  <si>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</si>
  <si>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</si>
  <si>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</si>
  <si>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</si>
  <si>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</si>
  <si>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</si>
  <si>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</si>
  <si>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</si>
  <si>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</si>
  <si>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</si>
  <si>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</si>
  <si>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</si>
  <si>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</si>
  <si>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</si>
  <si>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</si>
  <si>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</si>
  <si>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</si>
  <si>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</si>
  <si>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</si>
  <si>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</si>
  <si>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</si>
  <si>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</si>
  <si>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</si>
  <si>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</si>
  <si>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</si>
  <si>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</si>
  <si>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</si>
  <si>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</si>
  <si>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</si>
  <si>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</si>
  <si>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</si>
  <si>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</si>
  <si>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</si>
  <si>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</si>
  <si>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</si>
  <si>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</si>
  <si>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</si>
  <si>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</si>
  <si>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</si>
  <si>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</si>
  <si>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</si>
  <si>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</si>
  <si>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</si>
  <si>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</si>
  <si>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</si>
  <si>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</si>
  <si>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>Loan Amount</t>
  </si>
  <si>
    <t>Interest Rate</t>
  </si>
  <si>
    <t>Payments</t>
  </si>
  <si>
    <t>Months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</si>
  <si>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</si>
  <si>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</si>
  <si>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</si>
  <si>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</si>
  <si>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</si>
  <si>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</si>
  <si>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</si>
  <si>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</si>
  <si>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</si>
  <si>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</si>
  <si>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</si>
  <si>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</si>
  <si>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</si>
  <si>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</si>
  <si>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</si>
  <si>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</si>
  <si>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</si>
  <si>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</si>
  <si>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</si>
  <si>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</si>
  <si>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</si>
  <si>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</si>
  <si>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</si>
  <si>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</si>
  <si>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</si>
  <si>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</si>
  <si>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</si>
  <si>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</si>
  <si>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</si>
  <si>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</si>
  <si>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</si>
  <si>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</si>
  <si>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</si>
  <si>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</si>
  <si>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</si>
  <si>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</si>
  <si>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</si>
  <si>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</si>
  <si>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</si>
  <si>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</si>
  <si>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</si>
  <si>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</si>
  <si>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</si>
  <si>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</si>
  <si>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</si>
  <si>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</si>
  <si>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</si>
  <si>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</si>
  <si>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</si>
  <si>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</si>
  <si>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</si>
  <si>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</si>
  <si>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</si>
  <si>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</si>
  <si>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</si>
  <si>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</si>
  <si>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</si>
  <si>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</si>
  <si>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</si>
  <si>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</si>
  <si>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</si>
  <si>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</si>
  <si>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</si>
  <si>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</si>
  <si>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</si>
  <si>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</si>
  <si>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</si>
  <si>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</si>
  <si>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</si>
  <si>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</si>
  <si>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</si>
  <si>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</si>
  <si>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</si>
  <si>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</si>
  <si>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</si>
  <si>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</si>
  <si>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</si>
  <si>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</si>
  <si>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</si>
  <si>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</si>
  <si>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</si>
  <si>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</si>
  <si>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</si>
  <si>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</si>
  <si>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</si>
  <si>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</si>
  <si>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</si>
  <si>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</si>
  <si>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</si>
  <si>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</si>
  <si>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</si>
  <si>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</si>
  <si>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</si>
  <si>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</si>
  <si>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</si>
  <si>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</si>
  <si>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</si>
  <si>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</si>
  <si>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</si>
  <si>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</si>
  <si>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</si>
  <si>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</si>
  <si>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</si>
  <si>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</si>
  <si>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</si>
  <si>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</si>
  <si>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</si>
  <si>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 xml:space="preserve">2017 OPERATING BUDGET </t>
  </si>
  <si>
    <t>2017 OPERATING BUDGET</t>
  </si>
  <si>
    <t>2017 PROJECTED TOTAL BUDGET</t>
  </si>
  <si>
    <t> CAM- EXTERMINATOR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</si>
  <si>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</si>
  <si>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</si>
  <si>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</si>
  <si>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</si>
  <si>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</si>
  <si>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</si>
  <si>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</si>
  <si>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</si>
  <si>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</si>
  <si>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</si>
  <si>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</si>
  <si>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</si>
  <si>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</si>
  <si>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</si>
  <si>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</si>
  <si>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</si>
  <si>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</si>
  <si>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</si>
  <si>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</si>
  <si>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</si>
  <si>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</si>
  <si>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</si>
  <si>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</si>
  <si>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</si>
  <si>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</si>
  <si>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</si>
  <si>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</si>
  <si>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</si>
  <si>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</si>
  <si>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</si>
  <si>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</si>
  <si>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</si>
  <si>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</si>
  <si>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</si>
  <si>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</si>
  <si>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</si>
  <si>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</si>
  <si>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</si>
  <si>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</si>
  <si>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</si>
  <si>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</si>
  <si>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</si>
  <si>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</si>
  <si>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</si>
  <si>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</si>
  <si>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</si>
  <si>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</si>
  <si>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</si>
  <si>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</si>
  <si>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</si>
  <si>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</si>
  <si>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</si>
  <si>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</si>
  <si>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</si>
  <si>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</si>
  <si>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</si>
  <si>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</si>
  <si>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</si>
  <si>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</si>
  <si>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</si>
  <si>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</si>
  <si>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Monthly</t>
  </si>
  <si>
    <t>Annual</t>
  </si>
  <si>
    <t>Investors</t>
  </si>
  <si>
    <t>%-ownership</t>
  </si>
  <si>
    <t>GL</t>
  </si>
  <si>
    <t>NJ WITHHELD FROM CAPITAL DISTRIBUTION</t>
  </si>
  <si>
    <t>6216-0000</t>
  </si>
  <si>
    <t> CAM- LIGHTING</t>
  </si>
  <si>
    <t>reduced by 30% due to CRS SF increase</t>
  </si>
  <si>
    <t>Based on 2016 Actual less the NJ Withholding</t>
  </si>
  <si>
    <t>1st</t>
  </si>
  <si>
    <t>% Change</t>
  </si>
  <si>
    <t>3406-0000</t>
  </si>
  <si>
    <t>DRAWING - CELIA COHEN</t>
  </si>
  <si>
    <t>DRAWING - ISAAC S. JEMAL</t>
  </si>
  <si>
    <t>This is what is being paid currently</t>
  </si>
  <si>
    <t>Based on 2016 Actual</t>
  </si>
  <si>
    <t>6237-0000</t>
  </si>
  <si>
    <t> CAM - REPAIRS, HVAC, BOILER &amp; EQUIP</t>
  </si>
  <si>
    <t>Circle Plaza</t>
  </si>
  <si>
    <t>The TJX Companies, I</t>
  </si>
  <si>
    <t>Payless Shoe Source,</t>
  </si>
  <si>
    <t>ABCO Public Employee</t>
  </si>
  <si>
    <t>Circle Plaza Cleaner</t>
  </si>
  <si>
    <t>4 M Fashions</t>
  </si>
  <si>
    <t>Renters Choice, Inc.</t>
  </si>
  <si>
    <t>Dollar Tree Stores I</t>
  </si>
  <si>
    <t>Ginza</t>
  </si>
  <si>
    <t>CIR</t>
  </si>
  <si>
    <t>Real Estate Taxes</t>
  </si>
  <si>
    <t>6210-0000</t>
  </si>
  <si>
    <t> CAM - PLUMBING MAINTENANCE</t>
  </si>
  <si>
    <t>3403-0000</t>
  </si>
  <si>
    <t>DRAWING - ALTERA GROUP</t>
  </si>
  <si>
    <t>3409-0000</t>
  </si>
  <si>
    <t>DRAWING - JACK DUSHEY</t>
  </si>
  <si>
    <t>3413-0000</t>
  </si>
  <si>
    <t>DRAWING - RICHARD A. HADDAD</t>
  </si>
  <si>
    <t>3415-0000</t>
  </si>
  <si>
    <t>DRAWING - EZRA HAMWAY</t>
  </si>
  <si>
    <t>3419-0000</t>
  </si>
  <si>
    <t>DRAWING - JOSEPH I. JEMAL</t>
  </si>
  <si>
    <t>3420-0000</t>
  </si>
  <si>
    <t>DRAWING - SAMUEL I. JEMAL</t>
  </si>
  <si>
    <t>3425-0000</t>
  </si>
  <si>
    <t>DRAWING - CHAVIVA SCHECHTER</t>
  </si>
  <si>
    <t>3429-0000</t>
  </si>
  <si>
    <t>DRAWING - MICHAEL SILVERMAN</t>
  </si>
  <si>
    <t>3431-0000</t>
  </si>
  <si>
    <t>DRAWING - ARYEH SUTTON</t>
  </si>
  <si>
    <t>3434-0000</t>
  </si>
  <si>
    <t>DRAWING - JONATHAN SUTTON</t>
  </si>
  <si>
    <t>3441-0000</t>
  </si>
  <si>
    <t>DRAWING - DAVID J. SUTTON</t>
  </si>
  <si>
    <t>3487-0000</t>
  </si>
  <si>
    <t>DRAWING - STEPHEN M LEVY FAMILY PARTNERSHIP LP</t>
  </si>
  <si>
    <t>Capital Contribution</t>
  </si>
  <si>
    <t>Property value increase, Egg Harbor, NJ</t>
  </si>
  <si>
    <t>Loan Part 2</t>
  </si>
  <si>
    <t>6217-0000</t>
  </si>
  <si>
    <t> CAM- ROOF REPAIRS</t>
  </si>
  <si>
    <t>dumping</t>
  </si>
  <si>
    <t>if we aren't using Zipp</t>
  </si>
  <si>
    <t>$23K Pylon for Washington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</si>
</sst>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1" formatCode="0.000000000000000%"/>
    <numFmt numFmtId="172" formatCode="0.00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9"/>
      <name val="Arial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0" fontId="1" fillId="0" borderId="0" xfId="44" applyFont="1" applyFill="1" applyAlignment="1">
      <alignment horizontal="center"/>
    </xf>
    <xf numFmtId="44" fontId="1" fillId="0" borderId="0" xfId="44" applyNumberFormat="1" applyFont="1" applyFill="1"/>
    <xf numFmtId="44" fontId="1" fillId="0" borderId="0" xfId="45" applyFont="1" applyFill="1"/>
    <xf numFmtId="44" fontId="1" fillId="0" borderId="0" xfId="45" applyFont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4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4" fontId="33" fillId="0" borderId="0" xfId="1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0" fontId="35" fillId="0" borderId="15" xfId="0" applyFont="1" applyBorder="1"/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6" fillId="0" borderId="15" xfId="0" applyFont="1" applyBorder="1"/>
    <xf numFmtId="0" fontId="0" fillId="0" borderId="15" xfId="0" applyBorder="1"/>
    <xf numFmtId="44" fontId="0" fillId="0" borderId="15" xfId="0" applyNumberFormat="1" applyBorder="1"/>
    <xf numFmtId="49" fontId="0" fillId="0" borderId="15" xfId="0" applyNumberFormat="1" applyBorder="1"/>
    <xf numFmtId="168" fontId="0" fillId="0" borderId="15" xfId="0" applyNumberFormat="1" applyBorder="1"/>
    <xf numFmtId="0" fontId="35" fillId="0" borderId="15" xfId="0" applyFont="1" applyBorder="1" applyAlignment="1">
      <alignment wrapText="1"/>
    </xf>
    <xf numFmtId="0" fontId="35" fillId="0" borderId="15" xfId="0" applyFont="1" applyBorder="1" applyAlignment="1">
      <alignment horizontal="center"/>
    </xf>
    <xf numFmtId="44" fontId="35" fillId="0" borderId="15" xfId="0" applyNumberFormat="1" applyFont="1" applyBorder="1" applyAlignment="1">
      <alignment wrapText="1"/>
    </xf>
    <xf numFmtId="44" fontId="35" fillId="0" borderId="15" xfId="0" applyNumberFormat="1" applyFont="1" applyBorder="1" applyAlignment="1">
      <alignment horizontal="center"/>
    </xf>
    <xf numFmtId="49" fontId="35" fillId="0" borderId="15" xfId="0" applyNumberFormat="1" applyFont="1" applyBorder="1" applyAlignment="1">
      <alignment horizontal="center"/>
    </xf>
    <xf numFmtId="168" fontId="35" fillId="0" borderId="15" xfId="0" applyNumberFormat="1" applyFont="1" applyBorder="1" applyAlignment="1">
      <alignment horizontal="center"/>
    </xf>
    <xf numFmtId="0" fontId="37" fillId="0" borderId="0" xfId="0" applyFont="1"/>
    <xf numFmtId="40" fontId="16" fillId="0" borderId="0" xfId="0" applyNumberFormat="1" applyFont="1"/>
    <xf numFmtId="0" fontId="16" fillId="38" borderId="16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10" fontId="32" fillId="0" borderId="0" xfId="48" applyNumberFormat="1" applyFont="1" applyAlignment="1">
      <alignment horizontal="center"/>
    </xf>
    <xf numFmtId="10" fontId="34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44" applyFont="1" applyFill="1"/>
    <xf numFmtId="3" fontId="1" fillId="0" borderId="0" xfId="44" applyNumberFormat="1" applyFont="1" applyFill="1" applyAlignment="1">
      <alignment horizontal="center"/>
    </xf>
    <xf numFmtId="44" fontId="1" fillId="0" borderId="0" xfId="45" applyFont="1" applyFill="1" applyAlignment="1">
      <alignment horizontal="center"/>
    </xf>
    <xf numFmtId="3" fontId="16" fillId="0" borderId="0" xfId="44" applyNumberFormat="1" applyFont="1" applyFill="1" applyAlignment="1">
      <alignment horizontal="center"/>
    </xf>
    <xf numFmtId="0" fontId="40" fillId="0" borderId="0" xfId="44" applyFont="1" applyFill="1"/>
    <xf numFmtId="3" fontId="40" fillId="0" borderId="0" xfId="44" applyNumberFormat="1" applyFont="1" applyFill="1" applyAlignment="1">
      <alignment horizontal="center"/>
    </xf>
    <xf numFmtId="164" fontId="40" fillId="0" borderId="0" xfId="45" applyNumberFormat="1" applyFont="1" applyFill="1"/>
    <xf numFmtId="164" fontId="1" fillId="37" borderId="0" xfId="45" applyNumberFormat="1" applyFont="1" applyFill="1"/>
    <xf numFmtId="0" fontId="0" fillId="0" borderId="0" xfId="44" applyFont="1" applyFill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  <xf numFmtId="40" fontId="0" fillId="37" borderId="0" xfId="0" applyNumberFormat="1" applyFill="1"/>
    <xf numFmtId="40" fontId="16" fillId="37" borderId="16" xfId="0" applyNumberFormat="1" applyFont="1" applyFill="1" applyBorder="1"/>
    <xf numFmtId="40" fontId="19" fillId="37" borderId="0" xfId="0" applyNumberFormat="1" applyFont="1" applyFill="1" applyAlignment="1">
      <alignment horizontal="right"/>
    </xf>
    <xf numFmtId="44" fontId="1" fillId="0" borderId="0" xfId="45" applyFont="1" applyAlignment="1">
      <alignment horizontal="center" vertical="center" wrapText="1"/>
    </xf>
    <xf numFmtId="10" fontId="1" fillId="0" borderId="0" xfId="46" applyNumberFormat="1" applyFont="1"/>
    <xf numFmtId="171" fontId="0" fillId="0" borderId="0" xfId="0" applyNumberForma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0" fontId="39" fillId="0" borderId="0" xfId="0" applyNumberFormat="1" applyFont="1" applyFill="1" applyAlignment="1">
      <alignment horizontal="center"/>
    </xf>
    <xf numFmtId="0" fontId="38" fillId="39" borderId="0" xfId="0" applyFont="1" applyFill="1" applyAlignment="1">
      <alignment horizontal="center" vertical="center"/>
    </xf>
    <xf numFmtId="0" fontId="29" fillId="0" borderId="0" xfId="44" applyFont="1" applyAlignment="1">
      <alignment horizontal="center" vertical="center"/>
    </xf>
    <xf numFmtId="172" fontId="16" fillId="38" borderId="16" xfId="0" applyNumberFormat="1" applyFont="1" applyFill="1" applyBorder="1"/>
    <xf numFmtId="0" fontId="1" fillId="0" borderId="0" xfId="44" applyFont="1" applyAlignment="1">
      <alignment horizontal="center" vertical="center" wrapText="1"/>
    </xf>
    <xf numFmtId="166" fontId="1" fillId="0" borderId="0" xfId="44" applyNumberFormat="1" applyFont="1" applyAlignment="1">
      <alignment horizontal="center" vertical="center" wrapText="1"/>
    </xf>
    <xf numFmtId="166" fontId="1" fillId="0" borderId="0" xfId="44" applyNumberFormat="1" applyFont="1"/>
    <xf numFmtId="8" fontId="1" fillId="0" borderId="0" xfId="44" applyNumberFormat="1" applyFont="1"/>
    <xf numFmtId="0" fontId="1" fillId="0" borderId="17" xfId="44" applyFont="1" applyBorder="1" applyAlignment="1">
      <alignment horizontal="center"/>
    </xf>
    <xf numFmtId="166" fontId="1" fillId="0" borderId="17" xfId="44" applyNumberFormat="1" applyFont="1" applyBorder="1"/>
    <xf numFmtId="44" fontId="1" fillId="0" borderId="17" xfId="44" applyNumberFormat="1" applyFont="1" applyBorder="1"/>
    <xf numFmtId="44" fontId="1" fillId="0" borderId="17" xfId="45" applyFont="1" applyBorder="1"/>
    <xf numFmtId="0" fontId="1" fillId="0" borderId="17" xfId="44" applyFont="1" applyBorder="1"/>
    <xf numFmtId="166" fontId="1" fillId="0" borderId="0" xfId="44" applyNumberFormat="1" applyFont="1" applyBorder="1"/>
    <xf numFmtId="44" fontId="1" fillId="0" borderId="0" xfId="44" applyNumberFormat="1" applyFont="1" applyBorder="1"/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176" t="s">
        <v>162</v>
      </c>
      <c r="B1" s="176"/>
      <c r="C1" s="176"/>
      <c r="D1" s="176"/>
      <c r="E1" s="176"/>
      <c r="F1" s="176"/>
      <c r="G1" s="176"/>
    </row>
    <row r="2" spans="1:9" ht="15.75" x14ac:dyDescent="0.25">
      <c r="A2" s="177" t="s">
        <v>195</v>
      </c>
      <c r="B2" s="177"/>
      <c r="C2" s="177"/>
      <c r="D2" s="177"/>
      <c r="E2" s="177"/>
      <c r="F2" s="177"/>
      <c r="G2" s="177"/>
    </row>
    <row r="3" spans="1:9" x14ac:dyDescent="0.25">
      <c r="A3" s="176"/>
      <c r="B3" s="176"/>
      <c r="C3" s="176"/>
      <c r="D3" s="176"/>
      <c r="E3" s="176"/>
      <c r="F3" s="176"/>
      <c r="G3" s="176"/>
    </row>
    <row r="4" spans="1:9" x14ac:dyDescent="0.25">
      <c r="A4" s="176"/>
      <c r="B4" s="176"/>
      <c r="C4" s="176"/>
      <c r="D4" s="176"/>
      <c r="E4" s="176"/>
      <c r="F4" s="176"/>
      <c r="G4" s="176"/>
    </row>
    <row r="5" spans="1:9" s="11" customFormat="1" ht="21.75" thickBot="1" x14ac:dyDescent="0.3">
      <c r="A5" s="10"/>
      <c r="B5" s="10"/>
      <c r="C5" s="10" t="s">
        <v>197</v>
      </c>
      <c r="D5" s="10" t="s">
        <v>196</v>
      </c>
      <c r="E5" s="10"/>
      <c r="F5" s="10" t="s">
        <v>198</v>
      </c>
      <c r="G5" s="10" t="s">
        <v>199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Projected'!$A$10:$P$185,3,FALSE),)</f>
        <v>636369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Projected'!$A$10:$P$185,3,FALSE),)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Projected'!$A$9:$B$185,2,FALSE)</f>
        <v> REIMB. - UTILITIES</v>
      </c>
      <c r="C15" s="9"/>
      <c r="D15" s="9"/>
      <c r="E15" s="9"/>
      <c r="F15" s="4">
        <f>_xlfn.IFNA(VLOOKUP(A15,'2017 Projected'!$A$10:$P$185,3,FALSE),)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Projected'!$A$10:$P$185,3,FALSE),)</f>
        <v>154545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Projected'!$A$10:$P$185,3,FALSE),)</f>
        <v>3743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Projected'!$A$10:$P$185,3,FALSE),)</f>
        <v>165334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Projected'!$A$9:$B$185,2,FALSE)</f>
        <v> CAM RECOVERY</v>
      </c>
      <c r="C19" s="4"/>
      <c r="D19" s="4"/>
      <c r="E19" s="4"/>
      <c r="F19" s="4">
        <f>_xlfn.IFNA(VLOOKUP(A19,'2017 Projected'!$A$10:$P$185,3,FALSE),)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Projected'!$A$9:$B$185,2,FALSE)</f>
        <v> INSURANCE RECOVERY</v>
      </c>
      <c r="C20" s="4"/>
      <c r="D20" s="4"/>
      <c r="E20" s="4"/>
      <c r="F20" s="4">
        <f>_xlfn.IFNA(VLOOKUP(A20,'2017 Projected'!$A$10:$P$185,3,FALSE),)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Projected'!$A$9:$B$185,2,FALSE)</f>
        <v> TAX RECOVERY</v>
      </c>
      <c r="C21" s="4"/>
      <c r="D21" s="4"/>
      <c r="E21" s="4"/>
      <c r="F21" s="4">
        <f>_xlfn.IFNA(VLOOKUP(A21,'2017 Projected'!$A$10:$P$185,3,FALSE),)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Projected'!$A$10:$P$185,3,FALSE),)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Projected'!$A$10:$P$185,3,FALSE),)</f>
        <v>323622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194</v>
      </c>
      <c r="B28" s="5" t="s">
        <v>193</v>
      </c>
      <c r="C28" s="4"/>
      <c r="D28" s="4">
        <v>240.75</v>
      </c>
      <c r="E28" s="4"/>
      <c r="F28" s="4">
        <f>_xlfn.IFNA(VLOOKUP(A28,'2017 Projected'!$A$10:$P$185,3,FALSE),)</f>
        <v>11770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Projected'!$A$10:$P$185,3,FALSE),)</f>
        <v>10500</v>
      </c>
      <c r="G29" s="4">
        <v>0</v>
      </c>
      <c r="I29" s="1"/>
    </row>
    <row r="30" spans="1:9" x14ac:dyDescent="0.25">
      <c r="A30" s="1" t="s">
        <v>192</v>
      </c>
      <c r="B30" s="5" t="s">
        <v>191</v>
      </c>
      <c r="C30" s="4"/>
      <c r="D30" s="4">
        <v>22.61</v>
      </c>
      <c r="E30" s="4"/>
      <c r="F30" s="4">
        <f>_xlfn.IFNA(VLOOKUP(A30,'2017 Projected'!$A$10:$P$185,3,FALSE),)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Projected'!$A$10:$P$185,3,FALSE),)</f>
        <v>30000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Projected'!$A$10:$P$185,3,FALSE),)</f>
        <v>7851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Projected'!$A$10:$P$185,3,FALSE),)</f>
        <v>9526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Projected'!$A$10:$P$185,3,FALSE),)</f>
        <v>16960</v>
      </c>
      <c r="G40" s="4">
        <v>0</v>
      </c>
      <c r="I40" s="1"/>
    </row>
    <row r="41" spans="1:9" x14ac:dyDescent="0.25">
      <c r="A41" s="1" t="s">
        <v>190</v>
      </c>
      <c r="B41" s="5" t="s">
        <v>189</v>
      </c>
      <c r="C41" s="4"/>
      <c r="D41" s="4">
        <v>-251.33</v>
      </c>
      <c r="E41" s="4"/>
      <c r="F41" s="4">
        <f>_xlfn.IFNA(VLOOKUP(A41,'2017 Projected'!$A$10:$P$185,3,FALSE),)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Projected'!$A$10:$P$185,3,FALSE),)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Projected'!$A$10:$P$185,3,FALSE),)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Projected'!$A$10:$P$185,3,FALSE),)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Projected'!$A$10:$P$185,3,FALSE),)</f>
        <v>14400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Projected'!$A$10:$P$185,3,FALSE),)</f>
        <v>7200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Projected'!$A$10:$P$185,3,FALSE),)</f>
        <v>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Projected'!$A$10:$P$185,3,FALSE),)</f>
        <v>1482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Projected'!$A$10:$P$185,3,FALSE),)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Projected'!$A$10:$P$185,3,FALSE),)</f>
        <v>278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Projected'!$A$10:$P$185,3,FALSE),)</f>
        <v>179075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Projected'!$A$10:$P$185,3,FALSE),)</f>
        <v>-128089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Projected'!$A$10:$P$185,3,FALSE),)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Projected'!$A$10:$P$185,3,FALSE),)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Projected'!$A$10:$P$185,3,FALSE),)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Projected'!$A$10:$P$185,3,FALSE),)</f>
        <v>0</v>
      </c>
      <c r="G87" s="4">
        <v>0</v>
      </c>
      <c r="I87" s="1"/>
    </row>
    <row r="88" spans="1:9" ht="15.75" thickBot="1" x14ac:dyDescent="0.3">
      <c r="A88" s="1" t="s">
        <v>188</v>
      </c>
      <c r="B88" s="5" t="s">
        <v>187</v>
      </c>
      <c r="C88" s="4"/>
      <c r="D88" s="4">
        <v>6710</v>
      </c>
      <c r="E88" s="4"/>
      <c r="F88" s="4">
        <f>_xlfn.IFNA(VLOOKUP(A88,'2017 Projected'!$A$10:$P$185,3,FALSE),)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158</v>
      </c>
      <c r="B93" s="5" t="s">
        <v>159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175"/>
      <c r="B98" s="175"/>
      <c r="C98" s="175"/>
      <c r="D98" s="175"/>
      <c r="E98" s="175"/>
      <c r="F98" s="175"/>
      <c r="G98" s="175"/>
      <c r="I98" s="1"/>
    </row>
    <row r="99" spans="1:9" x14ac:dyDescent="0.25">
      <c r="A99" s="1"/>
      <c r="B99" s="3" t="s">
        <v>186</v>
      </c>
      <c r="C99" s="3"/>
      <c r="D99" s="6" t="s">
        <v>184</v>
      </c>
      <c r="E99" s="6"/>
      <c r="F99" s="6" t="s">
        <v>163</v>
      </c>
      <c r="G99" s="1"/>
      <c r="I99" s="1"/>
    </row>
    <row r="100" spans="1:9" x14ac:dyDescent="0.25">
      <c r="A100" s="1" t="s">
        <v>182</v>
      </c>
      <c r="B100" s="5" t="s">
        <v>181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180</v>
      </c>
      <c r="B101" s="5" t="s">
        <v>179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178</v>
      </c>
      <c r="B102" s="5" t="s">
        <v>177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176</v>
      </c>
      <c r="B103" s="5" t="s">
        <v>175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174</v>
      </c>
      <c r="B104" s="5" t="s">
        <v>173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175"/>
      <c r="B106" s="175"/>
      <c r="C106" s="175"/>
      <c r="D106" s="175"/>
      <c r="E106" s="175"/>
      <c r="F106" s="175"/>
      <c r="G106" s="175"/>
      <c r="I106" s="1"/>
    </row>
    <row r="107" spans="1:9" x14ac:dyDescent="0.25">
      <c r="A107" s="1"/>
      <c r="B107" s="3" t="s">
        <v>185</v>
      </c>
      <c r="C107" s="3"/>
      <c r="D107" s="6" t="s">
        <v>184</v>
      </c>
      <c r="E107" s="6"/>
      <c r="F107" s="6" t="s">
        <v>163</v>
      </c>
      <c r="G107" s="1"/>
      <c r="I107" s="1"/>
    </row>
    <row r="108" spans="1:9" x14ac:dyDescent="0.25">
      <c r="A108" s="1" t="s">
        <v>182</v>
      </c>
      <c r="B108" s="5" t="s">
        <v>181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180</v>
      </c>
      <c r="B109" s="5" t="s">
        <v>179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178</v>
      </c>
      <c r="B110" s="5" t="s">
        <v>177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176</v>
      </c>
      <c r="B111" s="5" t="s">
        <v>175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174</v>
      </c>
      <c r="B112" s="5" t="s">
        <v>173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4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O30" sqref="O30:O41"/>
    </sheetView>
  </sheetViews>
  <sheetFormatPr defaultRowHeight="15" x14ac:dyDescent="0.25"/>
  <cols>
    <col min="1" max="1" width="36.42578125" style="31" customWidth="1"/>
    <col min="2" max="2" width="15.5703125" style="31" bestFit="1" customWidth="1"/>
    <col min="3" max="3" width="5.7109375" style="31" customWidth="1"/>
    <col min="4" max="4" width="5.42578125" style="31" customWidth="1"/>
    <col min="5" max="5" width="6.28515625" style="32" customWidth="1"/>
    <col min="6" max="6" width="8.7109375" style="186" bestFit="1" customWidth="1"/>
    <col min="7" max="7" width="17.28515625" style="31" bestFit="1" customWidth="1"/>
    <col min="8" max="8" width="11.5703125" style="60" bestFit="1" customWidth="1"/>
    <col min="9" max="9" width="10.5703125" style="60" bestFit="1" customWidth="1"/>
    <col min="10" max="10" width="11.5703125" style="60" bestFit="1" customWidth="1"/>
    <col min="11" max="11" width="12.5703125" style="31" bestFit="1" customWidth="1"/>
    <col min="12" max="12" width="14.140625" style="31" bestFit="1" customWidth="1"/>
    <col min="13" max="13" width="14.28515625" style="31" bestFit="1" customWidth="1"/>
    <col min="14" max="16384" width="9.140625" style="31"/>
  </cols>
  <sheetData>
    <row r="2" spans="1:13" ht="30" x14ac:dyDescent="0.25">
      <c r="E2" s="184"/>
      <c r="F2" s="185" t="s">
        <v>287</v>
      </c>
      <c r="G2" s="184" t="s">
        <v>184</v>
      </c>
      <c r="H2" s="172" t="s">
        <v>288</v>
      </c>
      <c r="I2" s="172" t="s">
        <v>289</v>
      </c>
      <c r="J2" s="172" t="s">
        <v>290</v>
      </c>
      <c r="K2" s="184" t="s">
        <v>291</v>
      </c>
      <c r="L2" s="184" t="s">
        <v>292</v>
      </c>
      <c r="M2" s="184" t="s">
        <v>183</v>
      </c>
    </row>
    <row r="3" spans="1:13" x14ac:dyDescent="0.25">
      <c r="A3" s="31" t="s">
        <v>293</v>
      </c>
      <c r="B3" s="173">
        <v>1.49E-2</v>
      </c>
      <c r="E3" s="32">
        <v>1</v>
      </c>
      <c r="F3" s="186">
        <v>41557</v>
      </c>
      <c r="G3" s="61">
        <f>$B$9</f>
        <v>4500000</v>
      </c>
      <c r="H3" s="60">
        <f t="shared" ref="H3:H38" si="0">$B$12</f>
        <v>21483.69</v>
      </c>
      <c r="I3" s="60">
        <f>$H3-$J3</f>
        <v>6483.6899999999987</v>
      </c>
      <c r="J3" s="60">
        <f t="shared" ref="J3:J38" si="1">ROUND($G3*($B$10/12), 2)</f>
        <v>15000</v>
      </c>
      <c r="K3" s="60">
        <f>I3</f>
        <v>6483.6899999999987</v>
      </c>
      <c r="L3" s="60">
        <f>J3</f>
        <v>15000</v>
      </c>
      <c r="M3" s="61">
        <f>$G3-$I3</f>
        <v>4493516.3099999996</v>
      </c>
    </row>
    <row r="4" spans="1:13" x14ac:dyDescent="0.25">
      <c r="A4" s="31" t="s">
        <v>527</v>
      </c>
      <c r="B4" s="173">
        <v>0.2</v>
      </c>
      <c r="E4" s="32">
        <v>2</v>
      </c>
      <c r="F4" s="186">
        <v>41588</v>
      </c>
      <c r="G4" s="61">
        <f>$M3</f>
        <v>4493516.3099999996</v>
      </c>
      <c r="H4" s="60">
        <f t="shared" si="0"/>
        <v>21483.69</v>
      </c>
      <c r="I4" s="60">
        <f t="shared" ref="I4:I67" si="2">$H4-$J4</f>
        <v>6505.2999999999993</v>
      </c>
      <c r="J4" s="60">
        <f t="shared" si="1"/>
        <v>14978.39</v>
      </c>
      <c r="K4" s="61">
        <f>$I4+$K3</f>
        <v>12988.989999999998</v>
      </c>
      <c r="L4" s="61">
        <f>$J4+$L3</f>
        <v>29978.39</v>
      </c>
      <c r="M4" s="61">
        <f t="shared" ref="M4:M67" si="3">$G4-$I4</f>
        <v>4487011.01</v>
      </c>
    </row>
    <row r="5" spans="1:13" x14ac:dyDescent="0.25">
      <c r="A5" s="31" t="s">
        <v>278</v>
      </c>
      <c r="B5" s="60">
        <v>240000</v>
      </c>
      <c r="E5" s="32">
        <v>3</v>
      </c>
      <c r="F5" s="186">
        <v>41618</v>
      </c>
      <c r="G5" s="61">
        <f t="shared" ref="G5:G68" si="4">$M4</f>
        <v>4487011.01</v>
      </c>
      <c r="H5" s="60">
        <f t="shared" si="0"/>
        <v>21483.69</v>
      </c>
      <c r="I5" s="60">
        <f t="shared" si="2"/>
        <v>6526.989999999998</v>
      </c>
      <c r="J5" s="60">
        <f t="shared" si="1"/>
        <v>14956.7</v>
      </c>
      <c r="K5" s="61">
        <f t="shared" ref="K5:K68" si="5">$I5+$K4</f>
        <v>19515.979999999996</v>
      </c>
      <c r="L5" s="61">
        <f t="shared" ref="L5:L68" si="6">$J5+$L4</f>
        <v>44935.09</v>
      </c>
      <c r="M5" s="61">
        <f t="shared" si="3"/>
        <v>4480484.0199999996</v>
      </c>
    </row>
    <row r="6" spans="1:13" x14ac:dyDescent="0.25">
      <c r="E6" s="32">
        <v>4</v>
      </c>
      <c r="F6" s="186">
        <v>41649</v>
      </c>
      <c r="G6" s="61">
        <f t="shared" si="4"/>
        <v>4480484.0199999996</v>
      </c>
      <c r="H6" s="60">
        <f t="shared" si="0"/>
        <v>21483.69</v>
      </c>
      <c r="I6" s="60">
        <f t="shared" si="2"/>
        <v>6548.739999999998</v>
      </c>
      <c r="J6" s="60">
        <f t="shared" si="1"/>
        <v>14934.95</v>
      </c>
      <c r="K6" s="61">
        <f t="shared" si="5"/>
        <v>26064.719999999994</v>
      </c>
      <c r="L6" s="61">
        <f t="shared" si="6"/>
        <v>59870.039999999994</v>
      </c>
      <c r="M6" s="61">
        <f t="shared" si="3"/>
        <v>4473935.2799999993</v>
      </c>
    </row>
    <row r="7" spans="1:13" x14ac:dyDescent="0.25">
      <c r="E7" s="32">
        <v>5</v>
      </c>
      <c r="F7" s="186">
        <v>41680</v>
      </c>
      <c r="G7" s="61">
        <f t="shared" si="4"/>
        <v>4473935.2799999993</v>
      </c>
      <c r="H7" s="60">
        <f t="shared" si="0"/>
        <v>21483.69</v>
      </c>
      <c r="I7" s="60">
        <f t="shared" si="2"/>
        <v>6570.5699999999979</v>
      </c>
      <c r="J7" s="60">
        <f t="shared" si="1"/>
        <v>14913.12</v>
      </c>
      <c r="K7" s="61">
        <f t="shared" si="5"/>
        <v>32635.289999999994</v>
      </c>
      <c r="L7" s="61">
        <f t="shared" si="6"/>
        <v>74783.159999999989</v>
      </c>
      <c r="M7" s="61">
        <f t="shared" si="3"/>
        <v>4467364.709999999</v>
      </c>
    </row>
    <row r="8" spans="1:13" x14ac:dyDescent="0.25">
      <c r="E8" s="32">
        <v>6</v>
      </c>
      <c r="F8" s="186">
        <v>41708</v>
      </c>
      <c r="G8" s="61">
        <f t="shared" si="4"/>
        <v>4467364.709999999</v>
      </c>
      <c r="H8" s="60">
        <f t="shared" si="0"/>
        <v>21483.69</v>
      </c>
      <c r="I8" s="60">
        <f t="shared" si="2"/>
        <v>6592.4699999999993</v>
      </c>
      <c r="J8" s="60">
        <f t="shared" si="1"/>
        <v>14891.22</v>
      </c>
      <c r="K8" s="61">
        <f t="shared" si="5"/>
        <v>39227.759999999995</v>
      </c>
      <c r="L8" s="61">
        <f t="shared" si="6"/>
        <v>89674.37999999999</v>
      </c>
      <c r="M8" s="61">
        <f t="shared" si="3"/>
        <v>4460772.2399999993</v>
      </c>
    </row>
    <row r="9" spans="1:13" x14ac:dyDescent="0.25">
      <c r="A9" s="186" t="s">
        <v>294</v>
      </c>
      <c r="B9" s="60">
        <v>4500000</v>
      </c>
      <c r="E9" s="32">
        <v>7</v>
      </c>
      <c r="F9" s="186">
        <v>41739</v>
      </c>
      <c r="G9" s="61">
        <f t="shared" si="4"/>
        <v>4460772.2399999993</v>
      </c>
      <c r="H9" s="60">
        <f t="shared" si="0"/>
        <v>21483.69</v>
      </c>
      <c r="I9" s="60">
        <f t="shared" si="2"/>
        <v>6614.4499999999989</v>
      </c>
      <c r="J9" s="60">
        <f t="shared" si="1"/>
        <v>14869.24</v>
      </c>
      <c r="K9" s="61">
        <f t="shared" si="5"/>
        <v>45842.209999999992</v>
      </c>
      <c r="L9" s="61">
        <f t="shared" si="6"/>
        <v>104543.62</v>
      </c>
      <c r="M9" s="61">
        <f t="shared" si="3"/>
        <v>4454157.7899999991</v>
      </c>
    </row>
    <row r="10" spans="1:13" x14ac:dyDescent="0.25">
      <c r="A10" s="186" t="s">
        <v>295</v>
      </c>
      <c r="B10" s="173">
        <v>0.04</v>
      </c>
      <c r="E10" s="32">
        <v>8</v>
      </c>
      <c r="F10" s="186">
        <v>41769</v>
      </c>
      <c r="G10" s="61">
        <f t="shared" si="4"/>
        <v>4454157.7899999991</v>
      </c>
      <c r="H10" s="60">
        <f t="shared" si="0"/>
        <v>21483.69</v>
      </c>
      <c r="I10" s="60">
        <f t="shared" si="2"/>
        <v>6636.4999999999982</v>
      </c>
      <c r="J10" s="60">
        <f t="shared" si="1"/>
        <v>14847.19</v>
      </c>
      <c r="K10" s="61">
        <f t="shared" si="5"/>
        <v>52478.709999999992</v>
      </c>
      <c r="L10" s="61">
        <f t="shared" si="6"/>
        <v>119390.81</v>
      </c>
      <c r="M10" s="61">
        <f t="shared" si="3"/>
        <v>4447521.2899999991</v>
      </c>
    </row>
    <row r="11" spans="1:13" x14ac:dyDescent="0.25">
      <c r="A11" s="186" t="s">
        <v>297</v>
      </c>
      <c r="B11" s="31">
        <v>360</v>
      </c>
      <c r="E11" s="32">
        <v>9</v>
      </c>
      <c r="F11" s="186">
        <v>41800</v>
      </c>
      <c r="G11" s="61">
        <f t="shared" si="4"/>
        <v>4447521.2899999991</v>
      </c>
      <c r="H11" s="60">
        <f t="shared" si="0"/>
        <v>21483.69</v>
      </c>
      <c r="I11" s="60">
        <f t="shared" si="2"/>
        <v>6658.619999999999</v>
      </c>
      <c r="J11" s="60">
        <f t="shared" si="1"/>
        <v>14825.07</v>
      </c>
      <c r="K11" s="61">
        <f t="shared" si="5"/>
        <v>59137.329999999987</v>
      </c>
      <c r="L11" s="61">
        <f t="shared" si="6"/>
        <v>134215.88</v>
      </c>
      <c r="M11" s="61">
        <f t="shared" si="3"/>
        <v>4440862.669999999</v>
      </c>
    </row>
    <row r="12" spans="1:13" x14ac:dyDescent="0.25">
      <c r="A12" s="186" t="s">
        <v>296</v>
      </c>
      <c r="B12" s="187">
        <f>ROUND(PMT($B$10/12,$B$11,-$B$9,0), 2)</f>
        <v>21483.69</v>
      </c>
      <c r="E12" s="32">
        <v>10</v>
      </c>
      <c r="F12" s="186">
        <v>41830</v>
      </c>
      <c r="G12" s="61">
        <f t="shared" si="4"/>
        <v>4440862.669999999</v>
      </c>
      <c r="H12" s="60">
        <f t="shared" si="0"/>
        <v>21483.69</v>
      </c>
      <c r="I12" s="60">
        <f t="shared" si="2"/>
        <v>6680.8099999999995</v>
      </c>
      <c r="J12" s="60">
        <f t="shared" si="1"/>
        <v>14802.88</v>
      </c>
      <c r="K12" s="61">
        <f t="shared" si="5"/>
        <v>65818.139999999985</v>
      </c>
      <c r="L12" s="61">
        <f t="shared" si="6"/>
        <v>149018.76</v>
      </c>
      <c r="M12" s="61">
        <f t="shared" si="3"/>
        <v>4434181.8599999994</v>
      </c>
    </row>
    <row r="13" spans="1:13" x14ac:dyDescent="0.25">
      <c r="E13" s="32">
        <v>11</v>
      </c>
      <c r="F13" s="186">
        <v>41861</v>
      </c>
      <c r="G13" s="61">
        <f t="shared" si="4"/>
        <v>4434181.8599999994</v>
      </c>
      <c r="H13" s="60">
        <f t="shared" si="0"/>
        <v>21483.69</v>
      </c>
      <c r="I13" s="60">
        <f t="shared" si="2"/>
        <v>6703.0799999999981</v>
      </c>
      <c r="J13" s="60">
        <f t="shared" si="1"/>
        <v>14780.61</v>
      </c>
      <c r="K13" s="61">
        <f t="shared" si="5"/>
        <v>72521.219999999987</v>
      </c>
      <c r="L13" s="61">
        <f t="shared" si="6"/>
        <v>163799.37</v>
      </c>
      <c r="M13" s="61">
        <f t="shared" si="3"/>
        <v>4427478.7799999993</v>
      </c>
    </row>
    <row r="14" spans="1:13" s="184" customFormat="1" x14ac:dyDescent="0.25">
      <c r="E14" s="32">
        <v>12</v>
      </c>
      <c r="F14" s="186">
        <v>41892</v>
      </c>
      <c r="G14" s="61">
        <f t="shared" si="4"/>
        <v>4427478.7799999993</v>
      </c>
      <c r="H14" s="60">
        <f t="shared" si="0"/>
        <v>21483.69</v>
      </c>
      <c r="I14" s="60">
        <f t="shared" si="2"/>
        <v>6725.4299999999985</v>
      </c>
      <c r="J14" s="60">
        <f t="shared" si="1"/>
        <v>14758.26</v>
      </c>
      <c r="K14" s="61">
        <f t="shared" si="5"/>
        <v>79246.64999999998</v>
      </c>
      <c r="L14" s="61">
        <f t="shared" si="6"/>
        <v>178557.63</v>
      </c>
      <c r="M14" s="61">
        <f t="shared" si="3"/>
        <v>4420753.3499999996</v>
      </c>
    </row>
    <row r="15" spans="1:13" x14ac:dyDescent="0.25">
      <c r="A15" s="31" t="s">
        <v>528</v>
      </c>
      <c r="E15" s="32">
        <v>13</v>
      </c>
      <c r="F15" s="186">
        <v>41922</v>
      </c>
      <c r="G15" s="61">
        <f t="shared" si="4"/>
        <v>4420753.3499999996</v>
      </c>
      <c r="H15" s="60">
        <f t="shared" si="0"/>
        <v>21483.69</v>
      </c>
      <c r="I15" s="60">
        <f t="shared" si="2"/>
        <v>6747.8499999999985</v>
      </c>
      <c r="J15" s="60">
        <f t="shared" si="1"/>
        <v>14735.84</v>
      </c>
      <c r="K15" s="61">
        <f t="shared" si="5"/>
        <v>85994.499999999971</v>
      </c>
      <c r="L15" s="61">
        <f t="shared" si="6"/>
        <v>193293.47</v>
      </c>
      <c r="M15" s="61">
        <f t="shared" si="3"/>
        <v>4414005.5</v>
      </c>
    </row>
    <row r="16" spans="1:13" x14ac:dyDescent="0.25">
      <c r="A16" s="186" t="s">
        <v>294</v>
      </c>
      <c r="B16" s="60">
        <v>4500000</v>
      </c>
      <c r="E16" s="32">
        <v>14</v>
      </c>
      <c r="F16" s="186">
        <v>41953</v>
      </c>
      <c r="G16" s="61">
        <f t="shared" si="4"/>
        <v>4414005.5</v>
      </c>
      <c r="H16" s="60">
        <f t="shared" si="0"/>
        <v>21483.69</v>
      </c>
      <c r="I16" s="60">
        <f t="shared" si="2"/>
        <v>6770.3399999999983</v>
      </c>
      <c r="J16" s="60">
        <f t="shared" si="1"/>
        <v>14713.35</v>
      </c>
      <c r="K16" s="61">
        <f t="shared" si="5"/>
        <v>92764.839999999967</v>
      </c>
      <c r="L16" s="61">
        <f t="shared" si="6"/>
        <v>208006.82</v>
      </c>
      <c r="M16" s="61">
        <f t="shared" si="3"/>
        <v>4407235.16</v>
      </c>
    </row>
    <row r="17" spans="1:17" x14ac:dyDescent="0.25">
      <c r="A17" s="186" t="s">
        <v>295</v>
      </c>
      <c r="B17" s="173">
        <v>4.7500000000000001E-2</v>
      </c>
      <c r="E17" s="32">
        <v>15</v>
      </c>
      <c r="F17" s="186">
        <v>41983</v>
      </c>
      <c r="G17" s="61">
        <f t="shared" si="4"/>
        <v>4407235.16</v>
      </c>
      <c r="H17" s="60">
        <f t="shared" si="0"/>
        <v>21483.69</v>
      </c>
      <c r="I17" s="60">
        <f t="shared" si="2"/>
        <v>6792.909999999998</v>
      </c>
      <c r="J17" s="60">
        <f t="shared" si="1"/>
        <v>14690.78</v>
      </c>
      <c r="K17" s="61">
        <f t="shared" si="5"/>
        <v>99557.749999999971</v>
      </c>
      <c r="L17" s="61">
        <f t="shared" si="6"/>
        <v>222697.60000000001</v>
      </c>
      <c r="M17" s="61">
        <f t="shared" si="3"/>
        <v>4400442.25</v>
      </c>
    </row>
    <row r="18" spans="1:17" x14ac:dyDescent="0.25">
      <c r="A18" s="186" t="s">
        <v>297</v>
      </c>
      <c r="B18" s="31">
        <v>360</v>
      </c>
      <c r="E18" s="32">
        <v>16</v>
      </c>
      <c r="F18" s="186">
        <v>42014</v>
      </c>
      <c r="G18" s="61">
        <f t="shared" si="4"/>
        <v>4400442.25</v>
      </c>
      <c r="H18" s="60">
        <f t="shared" si="0"/>
        <v>21483.69</v>
      </c>
      <c r="I18" s="60">
        <f t="shared" si="2"/>
        <v>6815.5499999999993</v>
      </c>
      <c r="J18" s="60">
        <f t="shared" si="1"/>
        <v>14668.14</v>
      </c>
      <c r="K18" s="61">
        <f t="shared" si="5"/>
        <v>106373.29999999997</v>
      </c>
      <c r="L18" s="61">
        <f t="shared" si="6"/>
        <v>237365.74</v>
      </c>
      <c r="M18" s="61">
        <f t="shared" si="3"/>
        <v>4393626.7</v>
      </c>
    </row>
    <row r="19" spans="1:17" x14ac:dyDescent="0.25">
      <c r="A19" s="186" t="s">
        <v>296</v>
      </c>
      <c r="B19" s="187">
        <f>ROUND(PMT($B$17/12,$B$18,-$B$16,0), 2)</f>
        <v>23474.13</v>
      </c>
      <c r="E19" s="32">
        <v>17</v>
      </c>
      <c r="F19" s="186">
        <v>42045</v>
      </c>
      <c r="G19" s="61">
        <f t="shared" si="4"/>
        <v>4393626.7</v>
      </c>
      <c r="H19" s="60">
        <f t="shared" si="0"/>
        <v>21483.69</v>
      </c>
      <c r="I19" s="60">
        <f t="shared" si="2"/>
        <v>6838.2699999999986</v>
      </c>
      <c r="J19" s="60">
        <f t="shared" si="1"/>
        <v>14645.42</v>
      </c>
      <c r="K19" s="61">
        <f t="shared" si="5"/>
        <v>113211.56999999998</v>
      </c>
      <c r="L19" s="61">
        <f t="shared" si="6"/>
        <v>252011.16</v>
      </c>
      <c r="M19" s="61">
        <f t="shared" si="3"/>
        <v>4386788.4300000006</v>
      </c>
    </row>
    <row r="20" spans="1:17" x14ac:dyDescent="0.25">
      <c r="E20" s="32">
        <v>18</v>
      </c>
      <c r="F20" s="186">
        <v>42073</v>
      </c>
      <c r="G20" s="61">
        <f t="shared" si="4"/>
        <v>4386788.4300000006</v>
      </c>
      <c r="H20" s="60">
        <f t="shared" si="0"/>
        <v>21483.69</v>
      </c>
      <c r="I20" s="60">
        <f t="shared" si="2"/>
        <v>6861.0599999999995</v>
      </c>
      <c r="J20" s="60">
        <f t="shared" si="1"/>
        <v>14622.63</v>
      </c>
      <c r="K20" s="61">
        <f t="shared" si="5"/>
        <v>120072.62999999998</v>
      </c>
      <c r="L20" s="61">
        <f t="shared" si="6"/>
        <v>266633.78999999998</v>
      </c>
      <c r="M20" s="61">
        <f t="shared" si="3"/>
        <v>4379927.370000001</v>
      </c>
    </row>
    <row r="21" spans="1:17" x14ac:dyDescent="0.25">
      <c r="E21" s="32">
        <v>19</v>
      </c>
      <c r="F21" s="186">
        <v>42104</v>
      </c>
      <c r="G21" s="61">
        <f t="shared" si="4"/>
        <v>4379927.370000001</v>
      </c>
      <c r="H21" s="60">
        <f t="shared" si="0"/>
        <v>21483.69</v>
      </c>
      <c r="I21" s="60">
        <f t="shared" si="2"/>
        <v>6883.9299999999985</v>
      </c>
      <c r="J21" s="60">
        <f t="shared" si="1"/>
        <v>14599.76</v>
      </c>
      <c r="K21" s="61">
        <f t="shared" si="5"/>
        <v>126956.55999999997</v>
      </c>
      <c r="L21" s="61">
        <f t="shared" si="6"/>
        <v>281233.55</v>
      </c>
      <c r="M21" s="61">
        <f t="shared" si="3"/>
        <v>4373043.4400000013</v>
      </c>
    </row>
    <row r="22" spans="1:17" x14ac:dyDescent="0.25">
      <c r="E22" s="32">
        <v>20</v>
      </c>
      <c r="F22" s="186">
        <v>42134</v>
      </c>
      <c r="G22" s="61">
        <f t="shared" si="4"/>
        <v>4373043.4400000013</v>
      </c>
      <c r="H22" s="60">
        <f t="shared" si="0"/>
        <v>21483.69</v>
      </c>
      <c r="I22" s="60">
        <f t="shared" si="2"/>
        <v>6906.8799999999992</v>
      </c>
      <c r="J22" s="60">
        <f t="shared" si="1"/>
        <v>14576.81</v>
      </c>
      <c r="K22" s="61">
        <f t="shared" si="5"/>
        <v>133863.43999999997</v>
      </c>
      <c r="L22" s="61">
        <f t="shared" si="6"/>
        <v>295810.36</v>
      </c>
      <c r="M22" s="61">
        <f t="shared" si="3"/>
        <v>4366136.5600000015</v>
      </c>
    </row>
    <row r="23" spans="1:17" x14ac:dyDescent="0.25">
      <c r="E23" s="32">
        <v>21</v>
      </c>
      <c r="F23" s="186">
        <v>42165</v>
      </c>
      <c r="G23" s="61">
        <f t="shared" si="4"/>
        <v>4366136.5600000015</v>
      </c>
      <c r="H23" s="60">
        <f t="shared" si="0"/>
        <v>21483.69</v>
      </c>
      <c r="I23" s="60">
        <f t="shared" si="2"/>
        <v>6929.8999999999978</v>
      </c>
      <c r="J23" s="60">
        <f t="shared" si="1"/>
        <v>14553.79</v>
      </c>
      <c r="K23" s="61">
        <f t="shared" si="5"/>
        <v>140793.33999999997</v>
      </c>
      <c r="L23" s="61">
        <f t="shared" si="6"/>
        <v>310364.14999999997</v>
      </c>
      <c r="M23" s="61">
        <f t="shared" si="3"/>
        <v>4359206.6600000011</v>
      </c>
    </row>
    <row r="24" spans="1:17" x14ac:dyDescent="0.25">
      <c r="E24" s="32">
        <v>22</v>
      </c>
      <c r="F24" s="186">
        <v>42195</v>
      </c>
      <c r="G24" s="61">
        <f t="shared" si="4"/>
        <v>4359206.6600000011</v>
      </c>
      <c r="H24" s="60">
        <f t="shared" si="0"/>
        <v>21483.69</v>
      </c>
      <c r="I24" s="60">
        <f t="shared" si="2"/>
        <v>6952.9999999999982</v>
      </c>
      <c r="J24" s="60">
        <f t="shared" si="1"/>
        <v>14530.69</v>
      </c>
      <c r="K24" s="61">
        <f t="shared" si="5"/>
        <v>147746.33999999997</v>
      </c>
      <c r="L24" s="61">
        <f t="shared" si="6"/>
        <v>324894.83999999997</v>
      </c>
      <c r="M24" s="61">
        <f t="shared" si="3"/>
        <v>4352253.6600000011</v>
      </c>
    </row>
    <row r="25" spans="1:17" x14ac:dyDescent="0.25">
      <c r="E25" s="32">
        <v>23</v>
      </c>
      <c r="F25" s="186">
        <v>42226</v>
      </c>
      <c r="G25" s="61">
        <f t="shared" si="4"/>
        <v>4352253.6600000011</v>
      </c>
      <c r="H25" s="60">
        <f t="shared" si="0"/>
        <v>21483.69</v>
      </c>
      <c r="I25" s="60">
        <f t="shared" si="2"/>
        <v>6976.1799999999985</v>
      </c>
      <c r="J25" s="60">
        <f t="shared" si="1"/>
        <v>14507.51</v>
      </c>
      <c r="K25" s="61">
        <f t="shared" si="5"/>
        <v>154722.51999999996</v>
      </c>
      <c r="L25" s="61">
        <f t="shared" si="6"/>
        <v>339402.35</v>
      </c>
      <c r="M25" s="61">
        <f t="shared" si="3"/>
        <v>4345277.4800000014</v>
      </c>
    </row>
    <row r="26" spans="1:17" x14ac:dyDescent="0.25">
      <c r="E26" s="32">
        <v>24</v>
      </c>
      <c r="F26" s="186">
        <v>42257</v>
      </c>
      <c r="G26" s="61">
        <f t="shared" si="4"/>
        <v>4345277.4800000014</v>
      </c>
      <c r="H26" s="60">
        <f t="shared" si="0"/>
        <v>21483.69</v>
      </c>
      <c r="I26" s="60">
        <f t="shared" si="2"/>
        <v>6999.4299999999985</v>
      </c>
      <c r="J26" s="60">
        <f t="shared" si="1"/>
        <v>14484.26</v>
      </c>
      <c r="K26" s="61">
        <f t="shared" si="5"/>
        <v>161721.94999999995</v>
      </c>
      <c r="L26" s="61">
        <f t="shared" si="6"/>
        <v>353886.61</v>
      </c>
      <c r="M26" s="61">
        <f t="shared" si="3"/>
        <v>4338278.0500000017</v>
      </c>
    </row>
    <row r="27" spans="1:17" x14ac:dyDescent="0.25">
      <c r="E27" s="32">
        <v>25</v>
      </c>
      <c r="F27" s="186">
        <v>42287</v>
      </c>
      <c r="G27" s="61">
        <f t="shared" si="4"/>
        <v>4338278.0500000017</v>
      </c>
      <c r="H27" s="60">
        <f t="shared" si="0"/>
        <v>21483.69</v>
      </c>
      <c r="I27" s="60">
        <f t="shared" si="2"/>
        <v>7022.7599999999984</v>
      </c>
      <c r="J27" s="60">
        <f t="shared" si="1"/>
        <v>14460.93</v>
      </c>
      <c r="K27" s="61">
        <f t="shared" si="5"/>
        <v>168744.70999999996</v>
      </c>
      <c r="L27" s="61">
        <f t="shared" si="6"/>
        <v>368347.54</v>
      </c>
      <c r="M27" s="61">
        <f t="shared" si="3"/>
        <v>4331255.2900000019</v>
      </c>
    </row>
    <row r="28" spans="1:17" x14ac:dyDescent="0.25">
      <c r="E28" s="55">
        <v>26</v>
      </c>
      <c r="F28" s="186">
        <v>42318</v>
      </c>
      <c r="G28" s="56">
        <f t="shared" si="4"/>
        <v>4331255.2900000019</v>
      </c>
      <c r="H28" s="57">
        <f t="shared" si="0"/>
        <v>21483.69</v>
      </c>
      <c r="I28" s="57">
        <f t="shared" si="2"/>
        <v>7046.1699999999983</v>
      </c>
      <c r="J28" s="57">
        <f t="shared" si="1"/>
        <v>14437.52</v>
      </c>
      <c r="K28" s="56">
        <f t="shared" si="5"/>
        <v>175790.87999999995</v>
      </c>
      <c r="L28" s="56">
        <f t="shared" si="6"/>
        <v>382785.06</v>
      </c>
      <c r="M28" s="56">
        <f t="shared" si="3"/>
        <v>4324209.120000002</v>
      </c>
    </row>
    <row r="29" spans="1:17" x14ac:dyDescent="0.25">
      <c r="E29" s="32">
        <v>27</v>
      </c>
      <c r="F29" s="186">
        <v>42348</v>
      </c>
      <c r="G29" s="61">
        <f t="shared" si="4"/>
        <v>4324209.120000002</v>
      </c>
      <c r="H29" s="60">
        <f t="shared" si="0"/>
        <v>21483.69</v>
      </c>
      <c r="I29" s="60">
        <f t="shared" si="2"/>
        <v>7069.659999999998</v>
      </c>
      <c r="J29" s="60">
        <f t="shared" si="1"/>
        <v>14414.03</v>
      </c>
      <c r="K29" s="61">
        <f t="shared" si="5"/>
        <v>182860.53999999995</v>
      </c>
      <c r="L29" s="61">
        <f t="shared" si="6"/>
        <v>397199.09</v>
      </c>
      <c r="M29" s="61">
        <f t="shared" si="3"/>
        <v>4317139.4600000018</v>
      </c>
    </row>
    <row r="30" spans="1:17" x14ac:dyDescent="0.25">
      <c r="E30" s="32">
        <v>28</v>
      </c>
      <c r="F30" s="186">
        <v>42379</v>
      </c>
      <c r="G30" s="61">
        <f t="shared" si="4"/>
        <v>4317139.4600000018</v>
      </c>
      <c r="H30" s="60">
        <f t="shared" si="0"/>
        <v>21483.69</v>
      </c>
      <c r="I30" s="60">
        <f t="shared" si="2"/>
        <v>7093.23</v>
      </c>
      <c r="J30" s="60">
        <f t="shared" si="1"/>
        <v>14390.46</v>
      </c>
      <c r="K30" s="61">
        <f t="shared" si="5"/>
        <v>189953.76999999996</v>
      </c>
      <c r="L30" s="61">
        <f t="shared" si="6"/>
        <v>411589.55000000005</v>
      </c>
      <c r="M30" s="61">
        <f t="shared" si="3"/>
        <v>4310046.2300000014</v>
      </c>
      <c r="O30" s="31">
        <v>14390.46</v>
      </c>
      <c r="P30" s="31">
        <f>-O30</f>
        <v>-14390.46</v>
      </c>
      <c r="Q30" s="31">
        <v>-7093.23</v>
      </c>
    </row>
    <row r="31" spans="1:17" x14ac:dyDescent="0.25">
      <c r="E31" s="32">
        <v>29</v>
      </c>
      <c r="F31" s="186">
        <v>42410</v>
      </c>
      <c r="G31" s="61">
        <f t="shared" si="4"/>
        <v>4310046.2300000014</v>
      </c>
      <c r="H31" s="60">
        <f t="shared" si="0"/>
        <v>21483.69</v>
      </c>
      <c r="I31" s="60">
        <f t="shared" si="2"/>
        <v>7116.869999999999</v>
      </c>
      <c r="J31" s="60">
        <f t="shared" si="1"/>
        <v>14366.82</v>
      </c>
      <c r="K31" s="61">
        <f t="shared" si="5"/>
        <v>197070.63999999996</v>
      </c>
      <c r="L31" s="61">
        <f t="shared" si="6"/>
        <v>425956.37000000005</v>
      </c>
      <c r="M31" s="61">
        <f t="shared" si="3"/>
        <v>4302929.3600000013</v>
      </c>
      <c r="O31" s="31">
        <v>14366.82</v>
      </c>
      <c r="P31" s="31">
        <f t="shared" ref="P31:P41" si="7">-O31</f>
        <v>-14366.82</v>
      </c>
      <c r="Q31" s="31">
        <v>-7116.869999999999</v>
      </c>
    </row>
    <row r="32" spans="1:17" x14ac:dyDescent="0.25">
      <c r="E32" s="32">
        <v>30</v>
      </c>
      <c r="F32" s="186">
        <v>42439</v>
      </c>
      <c r="G32" s="61">
        <f t="shared" si="4"/>
        <v>4302929.3600000013</v>
      </c>
      <c r="H32" s="60">
        <f t="shared" si="0"/>
        <v>21483.69</v>
      </c>
      <c r="I32" s="60">
        <f t="shared" si="2"/>
        <v>7140.5899999999983</v>
      </c>
      <c r="J32" s="60">
        <f t="shared" si="1"/>
        <v>14343.1</v>
      </c>
      <c r="K32" s="61">
        <f t="shared" si="5"/>
        <v>204211.22999999995</v>
      </c>
      <c r="L32" s="61">
        <f t="shared" si="6"/>
        <v>440299.47000000003</v>
      </c>
      <c r="M32" s="61">
        <f t="shared" si="3"/>
        <v>4295788.7700000014</v>
      </c>
      <c r="O32" s="31">
        <v>14343.1</v>
      </c>
      <c r="P32" s="31">
        <f t="shared" si="7"/>
        <v>-14343.1</v>
      </c>
      <c r="Q32" s="31">
        <v>-7140.5899999999983</v>
      </c>
    </row>
    <row r="33" spans="5:17" x14ac:dyDescent="0.25">
      <c r="E33" s="32">
        <v>31</v>
      </c>
      <c r="F33" s="186">
        <v>42470</v>
      </c>
      <c r="G33" s="61">
        <f t="shared" si="4"/>
        <v>4295788.7700000014</v>
      </c>
      <c r="H33" s="60">
        <f t="shared" si="0"/>
        <v>21483.69</v>
      </c>
      <c r="I33" s="60">
        <f t="shared" si="2"/>
        <v>7164.3899999999994</v>
      </c>
      <c r="J33" s="60">
        <f t="shared" si="1"/>
        <v>14319.3</v>
      </c>
      <c r="K33" s="61">
        <f t="shared" si="5"/>
        <v>211375.61999999994</v>
      </c>
      <c r="L33" s="61">
        <f t="shared" si="6"/>
        <v>454618.77</v>
      </c>
      <c r="M33" s="61">
        <f t="shared" si="3"/>
        <v>4288624.3800000018</v>
      </c>
      <c r="O33" s="31">
        <v>14319.3</v>
      </c>
      <c r="P33" s="31">
        <f t="shared" si="7"/>
        <v>-14319.3</v>
      </c>
      <c r="Q33" s="31">
        <v>-7164.3899999999994</v>
      </c>
    </row>
    <row r="34" spans="5:17" x14ac:dyDescent="0.25">
      <c r="E34" s="32">
        <v>32</v>
      </c>
      <c r="F34" s="186">
        <v>42500</v>
      </c>
      <c r="G34" s="61">
        <f t="shared" si="4"/>
        <v>4288624.3800000018</v>
      </c>
      <c r="H34" s="60">
        <f t="shared" si="0"/>
        <v>21483.69</v>
      </c>
      <c r="I34" s="60">
        <f t="shared" si="2"/>
        <v>7188.2799999999988</v>
      </c>
      <c r="J34" s="60">
        <f t="shared" si="1"/>
        <v>14295.41</v>
      </c>
      <c r="K34" s="61">
        <f t="shared" si="5"/>
        <v>218563.89999999994</v>
      </c>
      <c r="L34" s="61">
        <f t="shared" si="6"/>
        <v>468914.18</v>
      </c>
      <c r="M34" s="61">
        <f t="shared" si="3"/>
        <v>4281436.1000000015</v>
      </c>
      <c r="O34" s="31">
        <v>14295.41</v>
      </c>
      <c r="P34" s="31">
        <f t="shared" si="7"/>
        <v>-14295.41</v>
      </c>
      <c r="Q34" s="31">
        <v>-7188.2799999999988</v>
      </c>
    </row>
    <row r="35" spans="5:17" x14ac:dyDescent="0.25">
      <c r="E35" s="32">
        <v>33</v>
      </c>
      <c r="F35" s="186">
        <v>42531</v>
      </c>
      <c r="G35" s="61">
        <f t="shared" si="4"/>
        <v>4281436.1000000015</v>
      </c>
      <c r="H35" s="60">
        <f t="shared" si="0"/>
        <v>21483.69</v>
      </c>
      <c r="I35" s="60">
        <f t="shared" si="2"/>
        <v>7212.239999999998</v>
      </c>
      <c r="J35" s="60">
        <f t="shared" si="1"/>
        <v>14271.45</v>
      </c>
      <c r="K35" s="61">
        <f t="shared" si="5"/>
        <v>225776.13999999993</v>
      </c>
      <c r="L35" s="61">
        <f t="shared" si="6"/>
        <v>483185.63</v>
      </c>
      <c r="M35" s="61">
        <f t="shared" si="3"/>
        <v>4274223.8600000013</v>
      </c>
      <c r="O35" s="31">
        <v>14271.45</v>
      </c>
      <c r="P35" s="31">
        <f t="shared" si="7"/>
        <v>-14271.45</v>
      </c>
      <c r="Q35" s="31">
        <v>-7212.239999999998</v>
      </c>
    </row>
    <row r="36" spans="5:17" x14ac:dyDescent="0.25">
      <c r="E36" s="32">
        <v>34</v>
      </c>
      <c r="F36" s="186">
        <v>42561</v>
      </c>
      <c r="G36" s="61">
        <f t="shared" si="4"/>
        <v>4274223.8600000013</v>
      </c>
      <c r="H36" s="60">
        <f t="shared" si="0"/>
        <v>21483.69</v>
      </c>
      <c r="I36" s="60">
        <f t="shared" si="2"/>
        <v>7236.2799999999988</v>
      </c>
      <c r="J36" s="60">
        <f t="shared" si="1"/>
        <v>14247.41</v>
      </c>
      <c r="K36" s="61">
        <f t="shared" si="5"/>
        <v>233012.41999999993</v>
      </c>
      <c r="L36" s="61">
        <f t="shared" si="6"/>
        <v>497433.04</v>
      </c>
      <c r="M36" s="61">
        <f t="shared" si="3"/>
        <v>4266987.580000001</v>
      </c>
      <c r="O36" s="31">
        <v>14247.41</v>
      </c>
      <c r="P36" s="31">
        <f t="shared" si="7"/>
        <v>-14247.41</v>
      </c>
      <c r="Q36" s="31">
        <v>-7236.2799999999988</v>
      </c>
    </row>
    <row r="37" spans="5:17" x14ac:dyDescent="0.25">
      <c r="E37" s="32">
        <v>35</v>
      </c>
      <c r="F37" s="186">
        <v>42592</v>
      </c>
      <c r="G37" s="61">
        <f t="shared" si="4"/>
        <v>4266987.580000001</v>
      </c>
      <c r="H37" s="60">
        <f t="shared" si="0"/>
        <v>21483.69</v>
      </c>
      <c r="I37" s="60">
        <f t="shared" si="2"/>
        <v>7260.3999999999978</v>
      </c>
      <c r="J37" s="60">
        <f t="shared" si="1"/>
        <v>14223.29</v>
      </c>
      <c r="K37" s="61">
        <f t="shared" si="5"/>
        <v>240272.81999999992</v>
      </c>
      <c r="L37" s="61">
        <f t="shared" si="6"/>
        <v>511656.32999999996</v>
      </c>
      <c r="M37" s="61">
        <f t="shared" si="3"/>
        <v>4259727.1800000006</v>
      </c>
      <c r="O37" s="31">
        <v>14223.29</v>
      </c>
      <c r="P37" s="31">
        <f t="shared" si="7"/>
        <v>-14223.29</v>
      </c>
      <c r="Q37" s="31">
        <v>-7260.3999999999978</v>
      </c>
    </row>
    <row r="38" spans="5:17" s="192" customFormat="1" x14ac:dyDescent="0.25">
      <c r="E38" s="188">
        <v>36</v>
      </c>
      <c r="F38" s="189">
        <v>42623</v>
      </c>
      <c r="G38" s="190">
        <f t="shared" si="4"/>
        <v>4259727.1800000006</v>
      </c>
      <c r="H38" s="191">
        <f t="shared" si="0"/>
        <v>21483.69</v>
      </c>
      <c r="I38" s="191">
        <f t="shared" si="2"/>
        <v>7284.5999999999985</v>
      </c>
      <c r="J38" s="191">
        <f t="shared" si="1"/>
        <v>14199.09</v>
      </c>
      <c r="K38" s="190">
        <f t="shared" si="5"/>
        <v>247557.41999999993</v>
      </c>
      <c r="L38" s="190">
        <f t="shared" si="6"/>
        <v>525855.41999999993</v>
      </c>
      <c r="M38" s="190">
        <f t="shared" si="3"/>
        <v>4252442.580000001</v>
      </c>
      <c r="O38" s="192">
        <v>14199.09</v>
      </c>
      <c r="P38" s="31">
        <f t="shared" si="7"/>
        <v>-14199.09</v>
      </c>
      <c r="Q38" s="192">
        <v>-7284.5999999999985</v>
      </c>
    </row>
    <row r="39" spans="5:17" x14ac:dyDescent="0.25">
      <c r="E39" s="32">
        <v>37</v>
      </c>
      <c r="F39" s="193">
        <v>42653</v>
      </c>
      <c r="G39" s="194">
        <f t="shared" si="4"/>
        <v>4252442.580000001</v>
      </c>
      <c r="H39" s="58">
        <f>$B$19</f>
        <v>23474.13</v>
      </c>
      <c r="I39" s="58">
        <f t="shared" si="2"/>
        <v>6641.5400000000009</v>
      </c>
      <c r="J39" s="58">
        <f>ROUND($G39*($B$17/12), 2)</f>
        <v>16832.59</v>
      </c>
      <c r="K39" s="194">
        <f t="shared" si="5"/>
        <v>254198.95999999993</v>
      </c>
      <c r="L39" s="194">
        <f t="shared" si="6"/>
        <v>542688.00999999989</v>
      </c>
      <c r="M39" s="194">
        <f t="shared" si="3"/>
        <v>4245801.040000001</v>
      </c>
      <c r="O39" s="31">
        <v>16832.59</v>
      </c>
      <c r="P39" s="31">
        <f t="shared" si="7"/>
        <v>-16832.59</v>
      </c>
      <c r="Q39" s="31">
        <v>-6641.5400000000009</v>
      </c>
    </row>
    <row r="40" spans="5:17" x14ac:dyDescent="0.25">
      <c r="E40" s="32">
        <v>38</v>
      </c>
      <c r="F40" s="193">
        <v>42684</v>
      </c>
      <c r="G40" s="194">
        <f t="shared" si="4"/>
        <v>4245801.040000001</v>
      </c>
      <c r="H40" s="58">
        <f t="shared" ref="H40:H74" si="8">$B$19</f>
        <v>23474.13</v>
      </c>
      <c r="I40" s="58">
        <f t="shared" si="2"/>
        <v>6667.8300000000017</v>
      </c>
      <c r="J40" s="58">
        <f t="shared" ref="J40:J74" si="9">ROUND($G40*($B$17/12), 2)</f>
        <v>16806.3</v>
      </c>
      <c r="K40" s="194">
        <f t="shared" si="5"/>
        <v>260866.78999999992</v>
      </c>
      <c r="L40" s="194">
        <f t="shared" si="6"/>
        <v>559494.30999999994</v>
      </c>
      <c r="M40" s="194">
        <f t="shared" si="3"/>
        <v>4239133.2100000009</v>
      </c>
      <c r="O40" s="31">
        <v>16806.3</v>
      </c>
      <c r="P40" s="31">
        <f t="shared" si="7"/>
        <v>-16806.3</v>
      </c>
      <c r="Q40" s="31">
        <v>-6667.8300000000017</v>
      </c>
    </row>
    <row r="41" spans="5:17" x14ac:dyDescent="0.25">
      <c r="E41" s="32">
        <v>39</v>
      </c>
      <c r="F41" s="186">
        <v>42714</v>
      </c>
      <c r="G41" s="194">
        <f t="shared" si="4"/>
        <v>4239133.2100000009</v>
      </c>
      <c r="H41" s="58">
        <f t="shared" si="8"/>
        <v>23474.13</v>
      </c>
      <c r="I41" s="58">
        <f t="shared" si="2"/>
        <v>6694.23</v>
      </c>
      <c r="J41" s="58">
        <f t="shared" si="9"/>
        <v>16779.900000000001</v>
      </c>
      <c r="K41" s="194">
        <f t="shared" si="5"/>
        <v>267561.0199999999</v>
      </c>
      <c r="L41" s="194">
        <f t="shared" si="6"/>
        <v>576274.21</v>
      </c>
      <c r="M41" s="194">
        <f t="shared" si="3"/>
        <v>4232438.9800000004</v>
      </c>
      <c r="O41" s="31">
        <v>16779.900000000001</v>
      </c>
      <c r="P41" s="31">
        <f t="shared" si="7"/>
        <v>-16779.900000000001</v>
      </c>
      <c r="Q41" s="31">
        <v>-6694.23</v>
      </c>
    </row>
    <row r="42" spans="5:17" x14ac:dyDescent="0.25">
      <c r="E42" s="32">
        <v>40</v>
      </c>
      <c r="F42" s="193">
        <v>42745</v>
      </c>
      <c r="G42" s="194">
        <f t="shared" si="4"/>
        <v>4232438.9800000004</v>
      </c>
      <c r="H42" s="58">
        <f t="shared" si="8"/>
        <v>23474.13</v>
      </c>
      <c r="I42" s="58">
        <f t="shared" si="2"/>
        <v>6720.73</v>
      </c>
      <c r="J42" s="58">
        <f t="shared" si="9"/>
        <v>16753.400000000001</v>
      </c>
      <c r="K42" s="194">
        <f t="shared" si="5"/>
        <v>274281.74999999988</v>
      </c>
      <c r="L42" s="194">
        <f t="shared" si="6"/>
        <v>593027.61</v>
      </c>
      <c r="M42" s="194">
        <f t="shared" si="3"/>
        <v>4225718.25</v>
      </c>
    </row>
    <row r="43" spans="5:17" x14ac:dyDescent="0.25">
      <c r="E43" s="32">
        <v>41</v>
      </c>
      <c r="F43" s="186">
        <v>42776</v>
      </c>
      <c r="G43" s="194">
        <f t="shared" si="4"/>
        <v>4225718.25</v>
      </c>
      <c r="H43" s="58">
        <f t="shared" si="8"/>
        <v>23474.13</v>
      </c>
      <c r="I43" s="58">
        <f t="shared" si="2"/>
        <v>6747.3300000000017</v>
      </c>
      <c r="J43" s="58">
        <f t="shared" si="9"/>
        <v>16726.8</v>
      </c>
      <c r="K43" s="194">
        <f t="shared" si="5"/>
        <v>281029.0799999999</v>
      </c>
      <c r="L43" s="194">
        <f t="shared" si="6"/>
        <v>609754.41</v>
      </c>
      <c r="M43" s="194">
        <f t="shared" si="3"/>
        <v>4218970.92</v>
      </c>
    </row>
    <row r="44" spans="5:17" x14ac:dyDescent="0.25">
      <c r="E44" s="32">
        <v>42</v>
      </c>
      <c r="F44" s="193">
        <v>42804</v>
      </c>
      <c r="G44" s="194">
        <f t="shared" si="4"/>
        <v>4218970.92</v>
      </c>
      <c r="H44" s="58">
        <f t="shared" si="8"/>
        <v>23474.13</v>
      </c>
      <c r="I44" s="58">
        <f t="shared" si="2"/>
        <v>6774.0400000000009</v>
      </c>
      <c r="J44" s="58">
        <f t="shared" si="9"/>
        <v>16700.09</v>
      </c>
      <c r="K44" s="194">
        <f t="shared" si="5"/>
        <v>287803.11999999988</v>
      </c>
      <c r="L44" s="194">
        <f t="shared" si="6"/>
        <v>626454.5</v>
      </c>
      <c r="M44" s="194">
        <f t="shared" si="3"/>
        <v>4212196.88</v>
      </c>
    </row>
    <row r="45" spans="5:17" x14ac:dyDescent="0.25">
      <c r="E45" s="32">
        <v>43</v>
      </c>
      <c r="F45" s="186">
        <v>42835</v>
      </c>
      <c r="G45" s="194">
        <f t="shared" si="4"/>
        <v>4212196.88</v>
      </c>
      <c r="H45" s="58">
        <f t="shared" si="8"/>
        <v>23474.13</v>
      </c>
      <c r="I45" s="58">
        <f t="shared" si="2"/>
        <v>6800.8500000000022</v>
      </c>
      <c r="J45" s="58">
        <f t="shared" si="9"/>
        <v>16673.28</v>
      </c>
      <c r="K45" s="194">
        <f t="shared" si="5"/>
        <v>294603.96999999986</v>
      </c>
      <c r="L45" s="194">
        <f t="shared" si="6"/>
        <v>643127.78</v>
      </c>
      <c r="M45" s="194">
        <f t="shared" si="3"/>
        <v>4205396.03</v>
      </c>
    </row>
    <row r="46" spans="5:17" x14ac:dyDescent="0.25">
      <c r="E46" s="32">
        <v>44</v>
      </c>
      <c r="F46" s="193">
        <v>42865</v>
      </c>
      <c r="G46" s="194">
        <f t="shared" si="4"/>
        <v>4205396.03</v>
      </c>
      <c r="H46" s="58">
        <f t="shared" si="8"/>
        <v>23474.13</v>
      </c>
      <c r="I46" s="58">
        <f t="shared" si="2"/>
        <v>6827.77</v>
      </c>
      <c r="J46" s="58">
        <f t="shared" si="9"/>
        <v>16646.36</v>
      </c>
      <c r="K46" s="194">
        <f t="shared" si="5"/>
        <v>301431.73999999987</v>
      </c>
      <c r="L46" s="194">
        <f t="shared" si="6"/>
        <v>659774.14</v>
      </c>
      <c r="M46" s="194">
        <f t="shared" si="3"/>
        <v>4198568.2600000007</v>
      </c>
    </row>
    <row r="47" spans="5:17" x14ac:dyDescent="0.25">
      <c r="E47" s="32">
        <v>45</v>
      </c>
      <c r="F47" s="186">
        <v>42896</v>
      </c>
      <c r="G47" s="194">
        <f t="shared" si="4"/>
        <v>4198568.2600000007</v>
      </c>
      <c r="H47" s="58">
        <f t="shared" si="8"/>
        <v>23474.13</v>
      </c>
      <c r="I47" s="58">
        <f t="shared" si="2"/>
        <v>6854.7999999999993</v>
      </c>
      <c r="J47" s="58">
        <f t="shared" si="9"/>
        <v>16619.330000000002</v>
      </c>
      <c r="K47" s="194">
        <f t="shared" si="5"/>
        <v>308286.53999999986</v>
      </c>
      <c r="L47" s="194">
        <f t="shared" si="6"/>
        <v>676393.47</v>
      </c>
      <c r="M47" s="194">
        <f t="shared" si="3"/>
        <v>4191713.4600000009</v>
      </c>
    </row>
    <row r="48" spans="5:17" x14ac:dyDescent="0.25">
      <c r="E48" s="32">
        <v>46</v>
      </c>
      <c r="F48" s="193">
        <v>42926</v>
      </c>
      <c r="G48" s="194">
        <f t="shared" si="4"/>
        <v>4191713.4600000009</v>
      </c>
      <c r="H48" s="58">
        <f t="shared" si="8"/>
        <v>23474.13</v>
      </c>
      <c r="I48" s="58">
        <f t="shared" si="2"/>
        <v>6881.93</v>
      </c>
      <c r="J48" s="58">
        <f t="shared" si="9"/>
        <v>16592.2</v>
      </c>
      <c r="K48" s="194">
        <f t="shared" si="5"/>
        <v>315168.46999999986</v>
      </c>
      <c r="L48" s="194">
        <f t="shared" si="6"/>
        <v>692985.66999999993</v>
      </c>
      <c r="M48" s="194">
        <f t="shared" si="3"/>
        <v>4184831.5300000007</v>
      </c>
    </row>
    <row r="49" spans="5:13" x14ac:dyDescent="0.25">
      <c r="E49" s="32">
        <v>47</v>
      </c>
      <c r="F49" s="186">
        <v>42957</v>
      </c>
      <c r="G49" s="194">
        <f t="shared" si="4"/>
        <v>4184831.5300000007</v>
      </c>
      <c r="H49" s="58">
        <f t="shared" si="8"/>
        <v>23474.13</v>
      </c>
      <c r="I49" s="58">
        <f t="shared" si="2"/>
        <v>6909.1700000000019</v>
      </c>
      <c r="J49" s="58">
        <f t="shared" si="9"/>
        <v>16564.96</v>
      </c>
      <c r="K49" s="194">
        <f t="shared" si="5"/>
        <v>322077.63999999984</v>
      </c>
      <c r="L49" s="194">
        <f t="shared" si="6"/>
        <v>709550.62999999989</v>
      </c>
      <c r="M49" s="194">
        <f t="shared" si="3"/>
        <v>4177922.3600000008</v>
      </c>
    </row>
    <row r="50" spans="5:13" x14ac:dyDescent="0.25">
      <c r="E50" s="32">
        <v>48</v>
      </c>
      <c r="F50" s="193">
        <v>42988</v>
      </c>
      <c r="G50" s="194">
        <f t="shared" si="4"/>
        <v>4177922.3600000008</v>
      </c>
      <c r="H50" s="58">
        <f t="shared" si="8"/>
        <v>23474.13</v>
      </c>
      <c r="I50" s="58">
        <f t="shared" si="2"/>
        <v>6936.52</v>
      </c>
      <c r="J50" s="58">
        <f t="shared" si="9"/>
        <v>16537.61</v>
      </c>
      <c r="K50" s="194">
        <f t="shared" si="5"/>
        <v>329014.15999999986</v>
      </c>
      <c r="L50" s="194">
        <f t="shared" si="6"/>
        <v>726088.23999999987</v>
      </c>
      <c r="M50" s="194">
        <f t="shared" si="3"/>
        <v>4170985.8400000008</v>
      </c>
    </row>
    <row r="51" spans="5:13" x14ac:dyDescent="0.25">
      <c r="E51" s="32">
        <v>49</v>
      </c>
      <c r="F51" s="186">
        <v>43018</v>
      </c>
      <c r="G51" s="194">
        <f t="shared" si="4"/>
        <v>4170985.8400000008</v>
      </c>
      <c r="H51" s="58">
        <f t="shared" si="8"/>
        <v>23474.13</v>
      </c>
      <c r="I51" s="58">
        <f t="shared" si="2"/>
        <v>6963.98</v>
      </c>
      <c r="J51" s="58">
        <f t="shared" si="9"/>
        <v>16510.150000000001</v>
      </c>
      <c r="K51" s="194">
        <f t="shared" si="5"/>
        <v>335978.13999999984</v>
      </c>
      <c r="L51" s="194">
        <f t="shared" si="6"/>
        <v>742598.3899999999</v>
      </c>
      <c r="M51" s="194">
        <f t="shared" si="3"/>
        <v>4164021.8600000008</v>
      </c>
    </row>
    <row r="52" spans="5:13" x14ac:dyDescent="0.25">
      <c r="E52" s="32">
        <v>50</v>
      </c>
      <c r="F52" s="193">
        <v>43049</v>
      </c>
      <c r="G52" s="194">
        <f t="shared" si="4"/>
        <v>4164021.8600000008</v>
      </c>
      <c r="H52" s="58">
        <f t="shared" si="8"/>
        <v>23474.13</v>
      </c>
      <c r="I52" s="58">
        <f t="shared" si="2"/>
        <v>6991.5400000000009</v>
      </c>
      <c r="J52" s="58">
        <f t="shared" si="9"/>
        <v>16482.59</v>
      </c>
      <c r="K52" s="194">
        <f t="shared" si="5"/>
        <v>342969.67999999982</v>
      </c>
      <c r="L52" s="194">
        <f t="shared" si="6"/>
        <v>759080.97999999986</v>
      </c>
      <c r="M52" s="194">
        <f t="shared" si="3"/>
        <v>4157030.3200000008</v>
      </c>
    </row>
    <row r="53" spans="5:13" x14ac:dyDescent="0.25">
      <c r="E53" s="32">
        <v>51</v>
      </c>
      <c r="F53" s="186">
        <v>43079</v>
      </c>
      <c r="G53" s="194">
        <f t="shared" si="4"/>
        <v>4157030.3200000008</v>
      </c>
      <c r="H53" s="58">
        <f t="shared" si="8"/>
        <v>23474.13</v>
      </c>
      <c r="I53" s="58">
        <f t="shared" si="2"/>
        <v>7019.2200000000012</v>
      </c>
      <c r="J53" s="58">
        <f t="shared" si="9"/>
        <v>16454.91</v>
      </c>
      <c r="K53" s="194">
        <f t="shared" si="5"/>
        <v>349988.89999999979</v>
      </c>
      <c r="L53" s="194">
        <f t="shared" si="6"/>
        <v>775535.8899999999</v>
      </c>
      <c r="M53" s="194">
        <f t="shared" si="3"/>
        <v>4150011.1000000006</v>
      </c>
    </row>
    <row r="54" spans="5:13" x14ac:dyDescent="0.25">
      <c r="E54" s="32">
        <v>52</v>
      </c>
      <c r="F54" s="193">
        <v>43110</v>
      </c>
      <c r="G54" s="194">
        <f t="shared" si="4"/>
        <v>4150011.1000000006</v>
      </c>
      <c r="H54" s="58">
        <f t="shared" si="8"/>
        <v>23474.13</v>
      </c>
      <c r="I54" s="58">
        <f t="shared" si="2"/>
        <v>7047</v>
      </c>
      <c r="J54" s="58">
        <f t="shared" si="9"/>
        <v>16427.13</v>
      </c>
      <c r="K54" s="194">
        <f t="shared" si="5"/>
        <v>357035.89999999979</v>
      </c>
      <c r="L54" s="194">
        <f t="shared" si="6"/>
        <v>791963.0199999999</v>
      </c>
      <c r="M54" s="194">
        <f t="shared" si="3"/>
        <v>4142964.1000000006</v>
      </c>
    </row>
    <row r="55" spans="5:13" x14ac:dyDescent="0.25">
      <c r="E55" s="32">
        <v>53</v>
      </c>
      <c r="F55" s="186">
        <v>43141</v>
      </c>
      <c r="G55" s="194">
        <f t="shared" si="4"/>
        <v>4142964.1000000006</v>
      </c>
      <c r="H55" s="58">
        <f t="shared" si="8"/>
        <v>23474.13</v>
      </c>
      <c r="I55" s="58">
        <f t="shared" si="2"/>
        <v>7074.9000000000015</v>
      </c>
      <c r="J55" s="58">
        <f t="shared" si="9"/>
        <v>16399.23</v>
      </c>
      <c r="K55" s="194">
        <f t="shared" si="5"/>
        <v>364110.79999999981</v>
      </c>
      <c r="L55" s="194">
        <f t="shared" si="6"/>
        <v>808362.24999999988</v>
      </c>
      <c r="M55" s="194">
        <f t="shared" si="3"/>
        <v>4135889.2000000007</v>
      </c>
    </row>
    <row r="56" spans="5:13" x14ac:dyDescent="0.25">
      <c r="E56" s="32">
        <v>54</v>
      </c>
      <c r="F56" s="193">
        <v>43169</v>
      </c>
      <c r="G56" s="194">
        <f t="shared" si="4"/>
        <v>4135889.2000000007</v>
      </c>
      <c r="H56" s="58">
        <f t="shared" si="8"/>
        <v>23474.13</v>
      </c>
      <c r="I56" s="58">
        <f t="shared" si="2"/>
        <v>7102.9000000000015</v>
      </c>
      <c r="J56" s="58">
        <f t="shared" si="9"/>
        <v>16371.23</v>
      </c>
      <c r="K56" s="194">
        <f t="shared" si="5"/>
        <v>371213.69999999984</v>
      </c>
      <c r="L56" s="194">
        <f t="shared" si="6"/>
        <v>824733.47999999986</v>
      </c>
      <c r="M56" s="194">
        <f t="shared" si="3"/>
        <v>4128786.3000000007</v>
      </c>
    </row>
    <row r="57" spans="5:13" x14ac:dyDescent="0.25">
      <c r="E57" s="32">
        <v>55</v>
      </c>
      <c r="F57" s="186">
        <v>43200</v>
      </c>
      <c r="G57" s="194">
        <f t="shared" si="4"/>
        <v>4128786.3000000007</v>
      </c>
      <c r="H57" s="58">
        <f t="shared" si="8"/>
        <v>23474.13</v>
      </c>
      <c r="I57" s="58">
        <f t="shared" si="2"/>
        <v>7131.02</v>
      </c>
      <c r="J57" s="58">
        <f t="shared" si="9"/>
        <v>16343.11</v>
      </c>
      <c r="K57" s="194">
        <f t="shared" si="5"/>
        <v>378344.71999999986</v>
      </c>
      <c r="L57" s="194">
        <f t="shared" si="6"/>
        <v>841076.58999999985</v>
      </c>
      <c r="M57" s="194">
        <f t="shared" si="3"/>
        <v>4121655.2800000007</v>
      </c>
    </row>
    <row r="58" spans="5:13" x14ac:dyDescent="0.25">
      <c r="E58" s="32">
        <v>56</v>
      </c>
      <c r="F58" s="193">
        <v>43230</v>
      </c>
      <c r="G58" s="194">
        <f t="shared" si="4"/>
        <v>4121655.2800000007</v>
      </c>
      <c r="H58" s="58">
        <f t="shared" si="8"/>
        <v>23474.13</v>
      </c>
      <c r="I58" s="58">
        <f t="shared" si="2"/>
        <v>7159.2400000000016</v>
      </c>
      <c r="J58" s="58">
        <f t="shared" si="9"/>
        <v>16314.89</v>
      </c>
      <c r="K58" s="194">
        <f t="shared" si="5"/>
        <v>385503.95999999985</v>
      </c>
      <c r="L58" s="194">
        <f t="shared" si="6"/>
        <v>857391.47999999986</v>
      </c>
      <c r="M58" s="194">
        <f t="shared" si="3"/>
        <v>4114496.0400000005</v>
      </c>
    </row>
    <row r="59" spans="5:13" x14ac:dyDescent="0.25">
      <c r="E59" s="32">
        <v>57</v>
      </c>
      <c r="F59" s="186">
        <v>43261</v>
      </c>
      <c r="G59" s="194">
        <f t="shared" si="4"/>
        <v>4114496.0400000005</v>
      </c>
      <c r="H59" s="58">
        <f t="shared" si="8"/>
        <v>23474.13</v>
      </c>
      <c r="I59" s="58">
        <f t="shared" si="2"/>
        <v>7187.5800000000017</v>
      </c>
      <c r="J59" s="58">
        <f t="shared" si="9"/>
        <v>16286.55</v>
      </c>
      <c r="K59" s="194">
        <f t="shared" si="5"/>
        <v>392691.53999999986</v>
      </c>
      <c r="L59" s="194">
        <f t="shared" si="6"/>
        <v>873678.02999999991</v>
      </c>
      <c r="M59" s="194">
        <f t="shared" si="3"/>
        <v>4107308.4600000004</v>
      </c>
    </row>
    <row r="60" spans="5:13" x14ac:dyDescent="0.25">
      <c r="E60" s="32">
        <v>58</v>
      </c>
      <c r="F60" s="193">
        <v>43291</v>
      </c>
      <c r="G60" s="194">
        <f t="shared" si="4"/>
        <v>4107308.4600000004</v>
      </c>
      <c r="H60" s="58">
        <f t="shared" si="8"/>
        <v>23474.13</v>
      </c>
      <c r="I60" s="58">
        <f t="shared" si="2"/>
        <v>7216.0300000000007</v>
      </c>
      <c r="J60" s="58">
        <f t="shared" si="9"/>
        <v>16258.1</v>
      </c>
      <c r="K60" s="194">
        <f t="shared" si="5"/>
        <v>399907.56999999989</v>
      </c>
      <c r="L60" s="194">
        <f t="shared" si="6"/>
        <v>889936.12999999989</v>
      </c>
      <c r="M60" s="194">
        <f t="shared" si="3"/>
        <v>4100092.4300000006</v>
      </c>
    </row>
    <row r="61" spans="5:13" x14ac:dyDescent="0.25">
      <c r="E61" s="32">
        <v>59</v>
      </c>
      <c r="F61" s="186">
        <v>43322</v>
      </c>
      <c r="G61" s="194">
        <f t="shared" si="4"/>
        <v>4100092.4300000006</v>
      </c>
      <c r="H61" s="58">
        <f t="shared" si="8"/>
        <v>23474.13</v>
      </c>
      <c r="I61" s="58">
        <f t="shared" si="2"/>
        <v>7244.6</v>
      </c>
      <c r="J61" s="58">
        <f t="shared" si="9"/>
        <v>16229.53</v>
      </c>
      <c r="K61" s="194">
        <f t="shared" si="5"/>
        <v>407152.16999999987</v>
      </c>
      <c r="L61" s="194">
        <f t="shared" si="6"/>
        <v>906165.65999999992</v>
      </c>
      <c r="M61" s="194">
        <f t="shared" si="3"/>
        <v>4092847.8300000005</v>
      </c>
    </row>
    <row r="62" spans="5:13" x14ac:dyDescent="0.25">
      <c r="E62" s="32">
        <v>60</v>
      </c>
      <c r="F62" s="193">
        <v>43353</v>
      </c>
      <c r="G62" s="194">
        <f t="shared" si="4"/>
        <v>4092847.8300000005</v>
      </c>
      <c r="H62" s="58">
        <f t="shared" si="8"/>
        <v>23474.13</v>
      </c>
      <c r="I62" s="58">
        <f t="shared" si="2"/>
        <v>7273.27</v>
      </c>
      <c r="J62" s="58">
        <f t="shared" si="9"/>
        <v>16200.86</v>
      </c>
      <c r="K62" s="194">
        <f t="shared" si="5"/>
        <v>414425.43999999989</v>
      </c>
      <c r="L62" s="194">
        <f t="shared" si="6"/>
        <v>922366.5199999999</v>
      </c>
      <c r="M62" s="194">
        <f t="shared" si="3"/>
        <v>4085574.5600000005</v>
      </c>
    </row>
    <row r="63" spans="5:13" x14ac:dyDescent="0.25">
      <c r="E63" s="32">
        <v>61</v>
      </c>
      <c r="F63" s="186">
        <v>43383</v>
      </c>
      <c r="G63" s="194">
        <f t="shared" si="4"/>
        <v>4085574.5600000005</v>
      </c>
      <c r="H63" s="58">
        <f t="shared" si="8"/>
        <v>23474.13</v>
      </c>
      <c r="I63" s="58">
        <f t="shared" si="2"/>
        <v>7302.0600000000013</v>
      </c>
      <c r="J63" s="58">
        <f t="shared" si="9"/>
        <v>16172.07</v>
      </c>
      <c r="K63" s="194">
        <f t="shared" si="5"/>
        <v>421727.49999999988</v>
      </c>
      <c r="L63" s="194">
        <f t="shared" si="6"/>
        <v>938538.58999999985</v>
      </c>
      <c r="M63" s="194">
        <f t="shared" si="3"/>
        <v>4078272.5000000005</v>
      </c>
    </row>
    <row r="64" spans="5:13" x14ac:dyDescent="0.25">
      <c r="E64" s="32">
        <v>62</v>
      </c>
      <c r="F64" s="193">
        <v>43414</v>
      </c>
      <c r="G64" s="194">
        <f t="shared" si="4"/>
        <v>4078272.5000000005</v>
      </c>
      <c r="H64" s="58">
        <f t="shared" si="8"/>
        <v>23474.13</v>
      </c>
      <c r="I64" s="58">
        <f t="shared" si="2"/>
        <v>7330.9700000000012</v>
      </c>
      <c r="J64" s="58">
        <f t="shared" si="9"/>
        <v>16143.16</v>
      </c>
      <c r="K64" s="194">
        <f t="shared" si="5"/>
        <v>429058.46999999986</v>
      </c>
      <c r="L64" s="194">
        <f t="shared" si="6"/>
        <v>954681.74999999988</v>
      </c>
      <c r="M64" s="194">
        <f t="shared" si="3"/>
        <v>4070941.5300000003</v>
      </c>
    </row>
    <row r="65" spans="5:13" x14ac:dyDescent="0.25">
      <c r="E65" s="32">
        <v>63</v>
      </c>
      <c r="F65" s="186">
        <v>43444</v>
      </c>
      <c r="G65" s="194">
        <f t="shared" si="4"/>
        <v>4070941.5300000003</v>
      </c>
      <c r="H65" s="58">
        <f t="shared" si="8"/>
        <v>23474.13</v>
      </c>
      <c r="I65" s="58">
        <f t="shared" si="2"/>
        <v>7359.9900000000016</v>
      </c>
      <c r="J65" s="58">
        <f t="shared" si="9"/>
        <v>16114.14</v>
      </c>
      <c r="K65" s="194">
        <f t="shared" si="5"/>
        <v>436418.45999999985</v>
      </c>
      <c r="L65" s="194">
        <f t="shared" si="6"/>
        <v>970795.8899999999</v>
      </c>
      <c r="M65" s="194">
        <f t="shared" si="3"/>
        <v>4063581.54</v>
      </c>
    </row>
    <row r="66" spans="5:13" x14ac:dyDescent="0.25">
      <c r="E66" s="32">
        <v>64</v>
      </c>
      <c r="F66" s="193">
        <v>43475</v>
      </c>
      <c r="G66" s="194">
        <f t="shared" si="4"/>
        <v>4063581.54</v>
      </c>
      <c r="H66" s="58">
        <f t="shared" si="8"/>
        <v>23474.13</v>
      </c>
      <c r="I66" s="58">
        <f t="shared" si="2"/>
        <v>7389.1200000000008</v>
      </c>
      <c r="J66" s="58">
        <f t="shared" si="9"/>
        <v>16085.01</v>
      </c>
      <c r="K66" s="194">
        <f t="shared" si="5"/>
        <v>443807.57999999984</v>
      </c>
      <c r="L66" s="194">
        <f t="shared" si="6"/>
        <v>986880.89999999991</v>
      </c>
      <c r="M66" s="194">
        <f t="shared" si="3"/>
        <v>4056192.42</v>
      </c>
    </row>
    <row r="67" spans="5:13" x14ac:dyDescent="0.25">
      <c r="E67" s="32">
        <v>65</v>
      </c>
      <c r="F67" s="186">
        <v>43506</v>
      </c>
      <c r="G67" s="194">
        <f t="shared" si="4"/>
        <v>4056192.42</v>
      </c>
      <c r="H67" s="58">
        <f t="shared" si="8"/>
        <v>23474.13</v>
      </c>
      <c r="I67" s="58">
        <f t="shared" si="2"/>
        <v>7418.3700000000008</v>
      </c>
      <c r="J67" s="58">
        <f t="shared" si="9"/>
        <v>16055.76</v>
      </c>
      <c r="K67" s="194">
        <f t="shared" si="5"/>
        <v>451225.94999999984</v>
      </c>
      <c r="L67" s="194">
        <f t="shared" si="6"/>
        <v>1002936.6599999999</v>
      </c>
      <c r="M67" s="194">
        <f t="shared" si="3"/>
        <v>4048774.05</v>
      </c>
    </row>
    <row r="68" spans="5:13" x14ac:dyDescent="0.25">
      <c r="E68" s="32">
        <v>66</v>
      </c>
      <c r="F68" s="193">
        <v>43534</v>
      </c>
      <c r="G68" s="194">
        <f t="shared" si="4"/>
        <v>4048774.05</v>
      </c>
      <c r="H68" s="58">
        <f t="shared" si="8"/>
        <v>23474.13</v>
      </c>
      <c r="I68" s="58">
        <f t="shared" ref="I68:I74" si="10">$H68-$J68</f>
        <v>7447.7300000000014</v>
      </c>
      <c r="J68" s="58">
        <f t="shared" si="9"/>
        <v>16026.4</v>
      </c>
      <c r="K68" s="194">
        <f t="shared" si="5"/>
        <v>458673.67999999982</v>
      </c>
      <c r="L68" s="194">
        <f t="shared" si="6"/>
        <v>1018963.0599999999</v>
      </c>
      <c r="M68" s="194">
        <f t="shared" ref="M68:M74" si="11">$G68-$I68</f>
        <v>4041326.32</v>
      </c>
    </row>
    <row r="69" spans="5:13" x14ac:dyDescent="0.25">
      <c r="E69" s="32">
        <v>67</v>
      </c>
      <c r="F69" s="186">
        <v>43565</v>
      </c>
      <c r="G69" s="194">
        <f t="shared" ref="G69:G74" si="12">$M68</f>
        <v>4041326.32</v>
      </c>
      <c r="H69" s="58">
        <f t="shared" si="8"/>
        <v>23474.13</v>
      </c>
      <c r="I69" s="58">
        <f t="shared" si="10"/>
        <v>7477.2100000000009</v>
      </c>
      <c r="J69" s="58">
        <f t="shared" si="9"/>
        <v>15996.92</v>
      </c>
      <c r="K69" s="194">
        <f t="shared" ref="K69:K74" si="13">$I69+$K68</f>
        <v>466150.88999999984</v>
      </c>
      <c r="L69" s="194">
        <f t="shared" ref="L69:L74" si="14">$J69+$L68</f>
        <v>1034959.98</v>
      </c>
      <c r="M69" s="194">
        <f t="shared" si="11"/>
        <v>4033849.11</v>
      </c>
    </row>
    <row r="70" spans="5:13" x14ac:dyDescent="0.25">
      <c r="E70" s="32">
        <v>68</v>
      </c>
      <c r="F70" s="193">
        <v>43595</v>
      </c>
      <c r="G70" s="194">
        <f t="shared" si="12"/>
        <v>4033849.11</v>
      </c>
      <c r="H70" s="58">
        <f t="shared" si="8"/>
        <v>23474.13</v>
      </c>
      <c r="I70" s="58">
        <f t="shared" si="10"/>
        <v>7506.8100000000013</v>
      </c>
      <c r="J70" s="58">
        <f t="shared" si="9"/>
        <v>15967.32</v>
      </c>
      <c r="K70" s="194">
        <f t="shared" si="13"/>
        <v>473657.69999999984</v>
      </c>
      <c r="L70" s="194">
        <f t="shared" si="14"/>
        <v>1050927.3</v>
      </c>
      <c r="M70" s="194">
        <f t="shared" si="11"/>
        <v>4026342.3</v>
      </c>
    </row>
    <row r="71" spans="5:13" x14ac:dyDescent="0.25">
      <c r="E71" s="32">
        <v>69</v>
      </c>
      <c r="F71" s="186">
        <v>43626</v>
      </c>
      <c r="G71" s="194">
        <f t="shared" si="12"/>
        <v>4026342.3</v>
      </c>
      <c r="H71" s="58">
        <f t="shared" si="8"/>
        <v>23474.13</v>
      </c>
      <c r="I71" s="58">
        <f t="shared" si="10"/>
        <v>7536.5300000000007</v>
      </c>
      <c r="J71" s="58">
        <f t="shared" si="9"/>
        <v>15937.6</v>
      </c>
      <c r="K71" s="194">
        <f t="shared" si="13"/>
        <v>481194.22999999986</v>
      </c>
      <c r="L71" s="194">
        <f t="shared" si="14"/>
        <v>1066864.9000000001</v>
      </c>
      <c r="M71" s="194">
        <f t="shared" si="11"/>
        <v>4018805.77</v>
      </c>
    </row>
    <row r="72" spans="5:13" x14ac:dyDescent="0.25">
      <c r="E72" s="32">
        <v>70</v>
      </c>
      <c r="F72" s="193">
        <v>43656</v>
      </c>
      <c r="G72" s="194">
        <f t="shared" si="12"/>
        <v>4018805.77</v>
      </c>
      <c r="H72" s="58">
        <f t="shared" si="8"/>
        <v>23474.13</v>
      </c>
      <c r="I72" s="58">
        <f t="shared" si="10"/>
        <v>7566.3600000000006</v>
      </c>
      <c r="J72" s="58">
        <f t="shared" si="9"/>
        <v>15907.77</v>
      </c>
      <c r="K72" s="194">
        <f t="shared" si="13"/>
        <v>488760.58999999985</v>
      </c>
      <c r="L72" s="194">
        <f t="shared" si="14"/>
        <v>1082772.6700000002</v>
      </c>
      <c r="M72" s="194">
        <f t="shared" si="11"/>
        <v>4011239.41</v>
      </c>
    </row>
    <row r="73" spans="5:13" x14ac:dyDescent="0.25">
      <c r="E73" s="32">
        <v>71</v>
      </c>
      <c r="F73" s="186">
        <v>43687</v>
      </c>
      <c r="G73" s="194">
        <f t="shared" si="12"/>
        <v>4011239.41</v>
      </c>
      <c r="H73" s="58">
        <f t="shared" si="8"/>
        <v>23474.13</v>
      </c>
      <c r="I73" s="58">
        <f t="shared" si="10"/>
        <v>7596.3100000000013</v>
      </c>
      <c r="J73" s="58">
        <f t="shared" si="9"/>
        <v>15877.82</v>
      </c>
      <c r="K73" s="194">
        <f t="shared" si="13"/>
        <v>496356.89999999985</v>
      </c>
      <c r="L73" s="194">
        <f t="shared" si="14"/>
        <v>1098650.4900000002</v>
      </c>
      <c r="M73" s="194">
        <f t="shared" si="11"/>
        <v>4003643.1</v>
      </c>
    </row>
    <row r="74" spans="5:13" x14ac:dyDescent="0.25">
      <c r="E74" s="32">
        <v>72</v>
      </c>
      <c r="F74" s="193">
        <v>43718</v>
      </c>
      <c r="G74" s="194">
        <f t="shared" si="12"/>
        <v>4003643.1</v>
      </c>
      <c r="H74" s="58">
        <f t="shared" si="8"/>
        <v>23474.13</v>
      </c>
      <c r="I74" s="58">
        <f t="shared" si="10"/>
        <v>7626.380000000001</v>
      </c>
      <c r="J74" s="58">
        <f t="shared" si="9"/>
        <v>15847.75</v>
      </c>
      <c r="K74" s="194">
        <f t="shared" si="13"/>
        <v>503983.27999999985</v>
      </c>
      <c r="L74" s="194">
        <f t="shared" si="14"/>
        <v>1114498.2400000002</v>
      </c>
      <c r="M74" s="194">
        <f t="shared" si="11"/>
        <v>3996016.72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M34" sqref="M34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59" t="s">
        <v>298</v>
      </c>
      <c r="B1" s="59"/>
      <c r="K1" s="12" t="s">
        <v>299</v>
      </c>
    </row>
    <row r="2" spans="1:23" x14ac:dyDescent="0.25">
      <c r="A2" s="31" t="s">
        <v>300</v>
      </c>
      <c r="B2" s="60">
        <v>5666.67</v>
      </c>
      <c r="D2" s="61">
        <f>B2*12</f>
        <v>68000.040000000008</v>
      </c>
    </row>
    <row r="3" spans="1:23" x14ac:dyDescent="0.25">
      <c r="A3" s="31" t="s">
        <v>301</v>
      </c>
      <c r="B3" s="60">
        <v>5666.67</v>
      </c>
      <c r="D3" s="61">
        <f t="shared" ref="D3:D12" si="0">B3*12</f>
        <v>68000.040000000008</v>
      </c>
    </row>
    <row r="4" spans="1:23" x14ac:dyDescent="0.25">
      <c r="A4" s="31" t="s">
        <v>302</v>
      </c>
      <c r="B4" s="60">
        <v>5666.67</v>
      </c>
      <c r="D4" s="61">
        <f t="shared" si="0"/>
        <v>68000.040000000008</v>
      </c>
      <c r="K4" s="62">
        <v>42370</v>
      </c>
      <c r="L4" s="62">
        <v>42402</v>
      </c>
      <c r="M4" s="62">
        <v>42434</v>
      </c>
      <c r="N4" s="62">
        <v>42466</v>
      </c>
      <c r="O4" s="62">
        <v>42498</v>
      </c>
      <c r="P4" s="62">
        <v>42530</v>
      </c>
      <c r="Q4" s="62">
        <v>42562</v>
      </c>
      <c r="R4" s="62">
        <v>42594</v>
      </c>
      <c r="S4" s="62">
        <v>42626</v>
      </c>
      <c r="T4" s="62">
        <v>42658</v>
      </c>
      <c r="U4" s="62">
        <v>42690</v>
      </c>
      <c r="V4" s="62">
        <v>42722</v>
      </c>
      <c r="W4" s="63" t="s">
        <v>303</v>
      </c>
    </row>
    <row r="5" spans="1:23" x14ac:dyDescent="0.25">
      <c r="A5" s="31" t="s">
        <v>304</v>
      </c>
      <c r="B5" s="60">
        <v>5666.67</v>
      </c>
      <c r="D5" s="61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305</v>
      </c>
      <c r="B6" s="60">
        <v>5666.67</v>
      </c>
      <c r="D6" s="61">
        <f t="shared" si="0"/>
        <v>68000.040000000008</v>
      </c>
    </row>
    <row r="7" spans="1:23" x14ac:dyDescent="0.25">
      <c r="B7" s="60"/>
      <c r="D7" s="61"/>
      <c r="J7" s="31" t="s">
        <v>306</v>
      </c>
      <c r="K7" s="64">
        <v>9137</v>
      </c>
      <c r="L7" s="64"/>
      <c r="M7" s="64"/>
      <c r="N7" s="64">
        <v>9137</v>
      </c>
      <c r="O7" s="64"/>
      <c r="P7" s="64"/>
      <c r="Q7" s="64">
        <v>9137</v>
      </c>
      <c r="R7" s="64"/>
      <c r="S7" s="64"/>
      <c r="T7" s="64"/>
      <c r="U7" s="64"/>
      <c r="V7" s="64"/>
      <c r="W7" s="64">
        <f>SUM(K7:V7)</f>
        <v>27411</v>
      </c>
    </row>
    <row r="8" spans="1:23" x14ac:dyDescent="0.25">
      <c r="A8" s="31" t="s">
        <v>307</v>
      </c>
      <c r="B8" s="60">
        <v>6516.67</v>
      </c>
      <c r="D8" s="61">
        <f t="shared" si="0"/>
        <v>78200.040000000008</v>
      </c>
      <c r="J8" s="31" t="s">
        <v>308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>
        <f t="shared" ref="W8:W12" si="1">SUM(K8:V8)</f>
        <v>0</v>
      </c>
    </row>
    <row r="9" spans="1:23" x14ac:dyDescent="0.25">
      <c r="A9" s="31" t="s">
        <v>309</v>
      </c>
      <c r="B9" s="60">
        <v>6516.67</v>
      </c>
      <c r="D9" s="61">
        <f t="shared" si="0"/>
        <v>78200.040000000008</v>
      </c>
      <c r="J9" s="31" t="s">
        <v>310</v>
      </c>
      <c r="K9" s="64">
        <v>0</v>
      </c>
      <c r="L9" s="64"/>
      <c r="M9" s="64"/>
      <c r="N9" s="64">
        <v>6282</v>
      </c>
      <c r="O9" s="64"/>
      <c r="P9" s="64"/>
      <c r="Q9" s="64">
        <v>6282</v>
      </c>
      <c r="R9" s="64"/>
      <c r="S9" s="64"/>
      <c r="T9" s="64"/>
      <c r="U9" s="64"/>
      <c r="V9" s="64"/>
      <c r="W9" s="64">
        <f t="shared" si="1"/>
        <v>12564</v>
      </c>
    </row>
    <row r="10" spans="1:23" x14ac:dyDescent="0.25">
      <c r="A10" s="31" t="s">
        <v>311</v>
      </c>
      <c r="B10" s="60">
        <v>6516.67</v>
      </c>
      <c r="D10" s="61">
        <f t="shared" si="0"/>
        <v>78200.040000000008</v>
      </c>
      <c r="J10" s="31" t="s">
        <v>312</v>
      </c>
      <c r="K10" s="64"/>
      <c r="L10" s="64"/>
      <c r="M10" s="64"/>
      <c r="N10" s="64"/>
      <c r="O10" s="64">
        <f>D53</f>
        <v>4204.8355000000001</v>
      </c>
      <c r="P10" s="64"/>
      <c r="Q10" s="64"/>
      <c r="R10" s="64"/>
      <c r="S10" s="64"/>
      <c r="T10" s="64">
        <v>0</v>
      </c>
      <c r="U10" s="64">
        <f>D54</f>
        <v>4204.8355000000001</v>
      </c>
      <c r="V10" s="64"/>
      <c r="W10" s="64">
        <f t="shared" si="1"/>
        <v>8409.6710000000003</v>
      </c>
    </row>
    <row r="11" spans="1:23" x14ac:dyDescent="0.25">
      <c r="A11" s="31" t="s">
        <v>313</v>
      </c>
      <c r="B11" s="60">
        <v>6516.67</v>
      </c>
      <c r="D11" s="61">
        <f t="shared" si="0"/>
        <v>78200.040000000008</v>
      </c>
      <c r="J11" s="31" t="s">
        <v>314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f>D70</f>
        <v>1773.9150025162505</v>
      </c>
      <c r="Q11" s="64">
        <v>0</v>
      </c>
      <c r="R11" s="64">
        <v>0</v>
      </c>
      <c r="S11" s="64"/>
      <c r="T11" s="64">
        <f>D71</f>
        <v>1773.9150025162505</v>
      </c>
      <c r="U11" s="64"/>
      <c r="V11" s="64">
        <f>D72</f>
        <v>1773.9150025162505</v>
      </c>
      <c r="W11" s="64">
        <f t="shared" si="1"/>
        <v>5321.7450075487513</v>
      </c>
    </row>
    <row r="12" spans="1:23" ht="17.25" x14ac:dyDescent="0.4">
      <c r="A12" s="31" t="s">
        <v>315</v>
      </c>
      <c r="B12" s="60">
        <v>6516.67</v>
      </c>
      <c r="D12" s="65">
        <f t="shared" si="0"/>
        <v>78200.040000000008</v>
      </c>
      <c r="J12" s="31" t="s">
        <v>316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f>D73</f>
        <v>1773.9150025162505</v>
      </c>
      <c r="W12" s="64">
        <f t="shared" si="1"/>
        <v>1773.9150025162505</v>
      </c>
    </row>
    <row r="13" spans="1:23" x14ac:dyDescent="0.25">
      <c r="B13" s="60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spans="1:23" x14ac:dyDescent="0.25">
      <c r="A14" s="31" t="s">
        <v>317</v>
      </c>
      <c r="B14" s="60"/>
      <c r="D14" s="61">
        <f>SUM(D2:D12)</f>
        <v>731000.40000000026</v>
      </c>
      <c r="J14" s="31" t="s">
        <v>318</v>
      </c>
      <c r="K14" s="64">
        <f t="shared" ref="K14:W14" si="2">SUM(K7:K12)</f>
        <v>9137</v>
      </c>
      <c r="L14" s="64">
        <f t="shared" si="2"/>
        <v>0</v>
      </c>
      <c r="M14" s="64">
        <f t="shared" si="2"/>
        <v>0</v>
      </c>
      <c r="N14" s="64">
        <f t="shared" si="2"/>
        <v>15419</v>
      </c>
      <c r="O14" s="64">
        <f t="shared" si="2"/>
        <v>4204.8355000000001</v>
      </c>
      <c r="P14" s="64">
        <f t="shared" si="2"/>
        <v>1773.9150025162505</v>
      </c>
      <c r="Q14" s="64">
        <f t="shared" si="2"/>
        <v>15419</v>
      </c>
      <c r="R14" s="64">
        <f t="shared" si="2"/>
        <v>0</v>
      </c>
      <c r="S14" s="64">
        <f t="shared" si="2"/>
        <v>0</v>
      </c>
      <c r="T14" s="64">
        <f t="shared" si="2"/>
        <v>1773.9150025162505</v>
      </c>
      <c r="U14" s="64">
        <f t="shared" si="2"/>
        <v>4204.8355000000001</v>
      </c>
      <c r="V14" s="64">
        <f t="shared" si="2"/>
        <v>3547.830005032501</v>
      </c>
      <c r="W14" s="64">
        <f t="shared" si="2"/>
        <v>55480.331010065005</v>
      </c>
    </row>
    <row r="15" spans="1:23" x14ac:dyDescent="0.25">
      <c r="A15" s="31" t="s">
        <v>319</v>
      </c>
      <c r="B15" s="60"/>
      <c r="D15" s="61">
        <f>D14*0.05</f>
        <v>36550.020000000011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spans="1:23" x14ac:dyDescent="0.25">
      <c r="A16" s="31" t="s">
        <v>320</v>
      </c>
      <c r="B16" s="60"/>
      <c r="D16" s="61">
        <f>D15*0.25</f>
        <v>9137.5050000000028</v>
      </c>
      <c r="E16" s="66">
        <v>42303</v>
      </c>
    </row>
    <row r="17" spans="1:5" x14ac:dyDescent="0.25">
      <c r="A17" s="67" t="s">
        <v>321</v>
      </c>
      <c r="B17" s="60"/>
      <c r="D17" s="61">
        <f>D15*0.25</f>
        <v>9137.5050000000028</v>
      </c>
      <c r="E17" s="66">
        <v>42395</v>
      </c>
    </row>
    <row r="18" spans="1:5" x14ac:dyDescent="0.25">
      <c r="A18" s="31" t="s">
        <v>322</v>
      </c>
      <c r="B18" s="60"/>
      <c r="D18" s="61">
        <f>D15*0.25</f>
        <v>9137.5050000000028</v>
      </c>
      <c r="E18" s="66">
        <v>42486</v>
      </c>
    </row>
    <row r="19" spans="1:5" x14ac:dyDescent="0.25">
      <c r="A19" s="31" t="s">
        <v>323</v>
      </c>
      <c r="B19" s="60"/>
      <c r="D19" s="61">
        <f>D15*0.25</f>
        <v>9137.5050000000028</v>
      </c>
      <c r="E19" s="66">
        <v>42577</v>
      </c>
    </row>
    <row r="20" spans="1:5" x14ac:dyDescent="0.25">
      <c r="B20" s="60"/>
      <c r="D20" s="61"/>
    </row>
    <row r="21" spans="1:5" x14ac:dyDescent="0.25">
      <c r="B21" s="60"/>
      <c r="D21" s="61"/>
    </row>
    <row r="22" spans="1:5" x14ac:dyDescent="0.25">
      <c r="A22" s="182" t="s">
        <v>324</v>
      </c>
      <c r="B22" s="182"/>
      <c r="D22" s="61"/>
    </row>
    <row r="23" spans="1:5" x14ac:dyDescent="0.25">
      <c r="A23" s="182"/>
      <c r="B23" s="182"/>
      <c r="D23" s="61"/>
    </row>
    <row r="24" spans="1:5" x14ac:dyDescent="0.25">
      <c r="A24" s="31" t="s">
        <v>325</v>
      </c>
      <c r="B24" s="60">
        <f>47300*5</f>
        <v>236500</v>
      </c>
      <c r="D24" s="61"/>
    </row>
    <row r="25" spans="1:5" x14ac:dyDescent="0.25">
      <c r="A25" s="31" t="s">
        <v>326</v>
      </c>
      <c r="B25" s="60">
        <f>53212.5*5</f>
        <v>266062.5</v>
      </c>
      <c r="D25" s="61"/>
    </row>
    <row r="26" spans="1:5" ht="15.75" thickBot="1" x14ac:dyDescent="0.3">
      <c r="B26" s="68">
        <f>SUM(B24:B25)</f>
        <v>502562.5</v>
      </c>
      <c r="D26" s="61"/>
    </row>
    <row r="27" spans="1:5" ht="15.75" thickTop="1" x14ac:dyDescent="0.25">
      <c r="B27" s="60"/>
    </row>
    <row r="28" spans="1:5" x14ac:dyDescent="0.25">
      <c r="A28" s="31" t="s">
        <v>327</v>
      </c>
      <c r="B28" s="60">
        <f>B26*5%</f>
        <v>25128.125</v>
      </c>
    </row>
    <row r="29" spans="1:5" x14ac:dyDescent="0.25">
      <c r="B29" s="60"/>
    </row>
    <row r="30" spans="1:5" x14ac:dyDescent="0.25">
      <c r="A30" s="31" t="s">
        <v>328</v>
      </c>
      <c r="B30" s="60">
        <v>12564.06</v>
      </c>
      <c r="E30" s="66">
        <v>42280</v>
      </c>
    </row>
    <row r="31" spans="1:5" x14ac:dyDescent="0.25">
      <c r="A31" s="31" t="s">
        <v>329</v>
      </c>
      <c r="B31" s="60">
        <v>6282.03</v>
      </c>
      <c r="E31" s="66">
        <v>42463</v>
      </c>
    </row>
    <row r="32" spans="1:5" x14ac:dyDescent="0.25">
      <c r="A32" s="31" t="s">
        <v>330</v>
      </c>
      <c r="B32" s="60">
        <v>6282.03</v>
      </c>
      <c r="E32" s="66">
        <v>42554</v>
      </c>
    </row>
    <row r="33" spans="1:8" s="12" customFormat="1" ht="15.75" thickBot="1" x14ac:dyDescent="0.3">
      <c r="A33" s="31"/>
      <c r="B33" s="68">
        <f>SUM(B30:B32)</f>
        <v>25128.12</v>
      </c>
    </row>
    <row r="34" spans="1:8" ht="15.75" thickTop="1" x14ac:dyDescent="0.25"/>
    <row r="35" spans="1:8" x14ac:dyDescent="0.25">
      <c r="A35" s="12" t="s">
        <v>331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332</v>
      </c>
      <c r="D37" s="61">
        <v>6282.03</v>
      </c>
      <c r="E37" s="66">
        <v>42280</v>
      </c>
    </row>
    <row r="38" spans="1:8" x14ac:dyDescent="0.25">
      <c r="A38" s="31" t="s">
        <v>333</v>
      </c>
      <c r="D38" s="61">
        <v>6282.03</v>
      </c>
      <c r="E38" s="66">
        <v>42372</v>
      </c>
    </row>
    <row r="39" spans="1:8" x14ac:dyDescent="0.25">
      <c r="A39" s="31" t="s">
        <v>334</v>
      </c>
      <c r="D39" s="61">
        <v>6282.03</v>
      </c>
      <c r="E39" s="66">
        <v>42463</v>
      </c>
    </row>
    <row r="40" spans="1:8" x14ac:dyDescent="0.25">
      <c r="A40" s="31" t="s">
        <v>335</v>
      </c>
      <c r="D40" s="61">
        <v>6282.03</v>
      </c>
      <c r="E40" s="66">
        <v>42554</v>
      </c>
    </row>
    <row r="41" spans="1:8" x14ac:dyDescent="0.25">
      <c r="D41" s="61"/>
      <c r="E41" s="69"/>
    </row>
    <row r="42" spans="1:8" x14ac:dyDescent="0.25">
      <c r="A42" s="12" t="s">
        <v>336</v>
      </c>
      <c r="B42" s="12" t="s">
        <v>337</v>
      </c>
      <c r="C42" s="12"/>
      <c r="D42" s="70"/>
      <c r="E42" s="71"/>
      <c r="F42" s="12"/>
      <c r="G42" s="12"/>
      <c r="H42" s="12"/>
    </row>
    <row r="43" spans="1:8" x14ac:dyDescent="0.25">
      <c r="D43" s="61"/>
      <c r="E43" s="69"/>
    </row>
    <row r="44" spans="1:8" x14ac:dyDescent="0.25">
      <c r="A44" s="31" t="s">
        <v>338</v>
      </c>
      <c r="B44" s="60">
        <v>31680</v>
      </c>
    </row>
    <row r="45" spans="1:8" x14ac:dyDescent="0.25">
      <c r="A45" s="31" t="s">
        <v>339</v>
      </c>
      <c r="B45" s="60">
        <v>32630.400000000001</v>
      </c>
    </row>
    <row r="46" spans="1:8" x14ac:dyDescent="0.25">
      <c r="A46" s="31" t="s">
        <v>340</v>
      </c>
      <c r="B46" s="60">
        <v>33609.31</v>
      </c>
    </row>
    <row r="47" spans="1:8" x14ac:dyDescent="0.25">
      <c r="A47" s="31" t="s">
        <v>341</v>
      </c>
      <c r="B47" s="60">
        <v>34617.589999999997</v>
      </c>
    </row>
    <row r="48" spans="1:8" ht="17.25" x14ac:dyDescent="0.4">
      <c r="A48" s="31" t="s">
        <v>342</v>
      </c>
      <c r="B48" s="72">
        <v>35656.120000000003</v>
      </c>
      <c r="D48" s="61"/>
      <c r="E48" s="66"/>
    </row>
    <row r="49" spans="1:14" x14ac:dyDescent="0.25">
      <c r="A49" s="31" t="s">
        <v>165</v>
      </c>
      <c r="B49" s="60">
        <f>SUM(B44:B48)</f>
        <v>168193.41999999998</v>
      </c>
      <c r="D49" s="61"/>
      <c r="E49" s="66"/>
    </row>
    <row r="51" spans="1:14" x14ac:dyDescent="0.25">
      <c r="A51" s="31" t="s">
        <v>343</v>
      </c>
      <c r="B51" s="61">
        <f>B49*0.05</f>
        <v>8409.6710000000003</v>
      </c>
    </row>
    <row r="53" spans="1:14" x14ac:dyDescent="0.25">
      <c r="A53" s="31" t="s">
        <v>344</v>
      </c>
      <c r="D53" s="61">
        <f>B$51/2</f>
        <v>4204.8355000000001</v>
      </c>
      <c r="E53" s="66">
        <v>42507</v>
      </c>
      <c r="F53" s="31" t="s">
        <v>345</v>
      </c>
      <c r="M53" s="69"/>
      <c r="N53" s="69"/>
    </row>
    <row r="54" spans="1:14" x14ac:dyDescent="0.25">
      <c r="A54" s="31" t="s">
        <v>346</v>
      </c>
      <c r="D54" s="61">
        <f>B$51/2</f>
        <v>4204.8355000000001</v>
      </c>
      <c r="E54" s="66">
        <v>42690</v>
      </c>
      <c r="F54" s="31" t="s">
        <v>345</v>
      </c>
      <c r="M54" s="73"/>
    </row>
    <row r="55" spans="1:14" x14ac:dyDescent="0.25">
      <c r="M55" s="73"/>
    </row>
    <row r="56" spans="1:14" x14ac:dyDescent="0.25">
      <c r="A56" s="12" t="s">
        <v>347</v>
      </c>
      <c r="M56" s="73"/>
    </row>
    <row r="57" spans="1:14" x14ac:dyDescent="0.25">
      <c r="M57" s="73"/>
    </row>
    <row r="58" spans="1:14" x14ac:dyDescent="0.25">
      <c r="A58" s="31" t="s">
        <v>348</v>
      </c>
      <c r="B58" s="31">
        <v>1215</v>
      </c>
      <c r="M58" s="73"/>
    </row>
    <row r="59" spans="1:14" x14ac:dyDescent="0.25">
      <c r="A59" s="31" t="s">
        <v>349</v>
      </c>
      <c r="B59" s="60">
        <v>22</v>
      </c>
      <c r="M59" s="73"/>
      <c r="N59" s="73"/>
    </row>
    <row r="61" spans="1:14" x14ac:dyDescent="0.25">
      <c r="A61" s="31" t="s">
        <v>338</v>
      </c>
      <c r="B61" s="60">
        <f>B58*B59</f>
        <v>26730</v>
      </c>
    </row>
    <row r="62" spans="1:14" x14ac:dyDescent="0.25">
      <c r="A62" s="31" t="s">
        <v>339</v>
      </c>
      <c r="B62" s="60">
        <f>B61*1.03</f>
        <v>27531.9</v>
      </c>
    </row>
    <row r="63" spans="1:14" x14ac:dyDescent="0.25">
      <c r="A63" s="31" t="s">
        <v>340</v>
      </c>
      <c r="B63" s="60">
        <f t="shared" ref="B63:B65" si="3">B62*1.03</f>
        <v>28357.857000000004</v>
      </c>
    </row>
    <row r="64" spans="1:14" x14ac:dyDescent="0.25">
      <c r="A64" s="31" t="s">
        <v>341</v>
      </c>
      <c r="B64" s="60">
        <f t="shared" si="3"/>
        <v>29208.592710000004</v>
      </c>
    </row>
    <row r="65" spans="1:11" ht="17.25" x14ac:dyDescent="0.4">
      <c r="A65" s="31" t="s">
        <v>342</v>
      </c>
      <c r="B65" s="72">
        <f t="shared" si="3"/>
        <v>30084.850491300007</v>
      </c>
      <c r="D65" s="61"/>
      <c r="E65" s="66"/>
    </row>
    <row r="66" spans="1:11" x14ac:dyDescent="0.25">
      <c r="A66" s="31" t="s">
        <v>165</v>
      </c>
      <c r="B66" s="60">
        <f>SUM(B61:B65)</f>
        <v>141913.20020130003</v>
      </c>
      <c r="D66" s="61"/>
      <c r="E66" s="66"/>
    </row>
    <row r="68" spans="1:11" x14ac:dyDescent="0.25">
      <c r="A68" s="31" t="s">
        <v>343</v>
      </c>
      <c r="B68" s="61">
        <f>B66*0.05</f>
        <v>7095.6600100650021</v>
      </c>
    </row>
    <row r="70" spans="1:11" x14ac:dyDescent="0.25">
      <c r="A70" s="31" t="s">
        <v>350</v>
      </c>
      <c r="D70" s="61">
        <f>B$68/4</f>
        <v>1773.9150025162505</v>
      </c>
      <c r="E70" s="66">
        <v>42673</v>
      </c>
      <c r="F70" s="31" t="s">
        <v>345</v>
      </c>
      <c r="J70" s="69"/>
      <c r="K70" s="69"/>
    </row>
    <row r="71" spans="1:11" x14ac:dyDescent="0.25">
      <c r="A71" s="31" t="s">
        <v>351</v>
      </c>
      <c r="D71" s="61">
        <f t="shared" ref="D71:D73" si="4">B$68/4</f>
        <v>1773.9150025162505</v>
      </c>
      <c r="E71" s="66">
        <f>E70+45</f>
        <v>42718</v>
      </c>
      <c r="F71" s="31" t="s">
        <v>345</v>
      </c>
      <c r="K71" s="69"/>
    </row>
    <row r="72" spans="1:11" x14ac:dyDescent="0.25">
      <c r="A72" s="31" t="s">
        <v>352</v>
      </c>
      <c r="D72" s="61">
        <f t="shared" si="4"/>
        <v>1773.9150025162505</v>
      </c>
      <c r="E72" s="66">
        <f>E71+45</f>
        <v>42763</v>
      </c>
      <c r="F72" s="31" t="s">
        <v>345</v>
      </c>
      <c r="K72" s="69"/>
    </row>
    <row r="73" spans="1:11" x14ac:dyDescent="0.25">
      <c r="A73" s="31" t="s">
        <v>353</v>
      </c>
      <c r="D73" s="61">
        <f t="shared" si="4"/>
        <v>1773.9150025162505</v>
      </c>
      <c r="E73" s="66">
        <f>E72+45</f>
        <v>42808</v>
      </c>
      <c r="F73" s="31" t="s">
        <v>345</v>
      </c>
      <c r="K73" s="69"/>
    </row>
    <row r="75" spans="1:11" x14ac:dyDescent="0.25">
      <c r="A75" s="12" t="s">
        <v>354</v>
      </c>
      <c r="B75" s="12" t="s">
        <v>355</v>
      </c>
      <c r="C75" s="12"/>
      <c r="D75" s="70"/>
      <c r="E75" s="71"/>
      <c r="F75" s="12"/>
      <c r="G75" s="12"/>
      <c r="H75" s="12"/>
    </row>
    <row r="76" spans="1:11" x14ac:dyDescent="0.25">
      <c r="D76" s="61"/>
      <c r="E76" s="69"/>
    </row>
    <row r="77" spans="1:11" x14ac:dyDescent="0.25">
      <c r="A77" s="31" t="s">
        <v>348</v>
      </c>
      <c r="B77" s="31">
        <v>1215</v>
      </c>
    </row>
    <row r="78" spans="1:11" x14ac:dyDescent="0.25">
      <c r="A78" s="31" t="s">
        <v>349</v>
      </c>
      <c r="B78" s="60">
        <v>22</v>
      </c>
    </row>
    <row r="80" spans="1:11" x14ac:dyDescent="0.25">
      <c r="A80" s="31" t="s">
        <v>338</v>
      </c>
      <c r="B80" s="60">
        <f>B77*B78</f>
        <v>26730</v>
      </c>
      <c r="C80" s="61"/>
    </row>
    <row r="81" spans="1:11" x14ac:dyDescent="0.25">
      <c r="A81" s="31" t="s">
        <v>339</v>
      </c>
      <c r="B81" s="60">
        <f>B80*1.03</f>
        <v>27531.9</v>
      </c>
    </row>
    <row r="82" spans="1:11" x14ac:dyDescent="0.25">
      <c r="A82" s="31" t="s">
        <v>340</v>
      </c>
      <c r="B82" s="60">
        <f t="shared" ref="B82:B84" si="5">B81*1.03</f>
        <v>28357.857000000004</v>
      </c>
    </row>
    <row r="83" spans="1:11" x14ac:dyDescent="0.25">
      <c r="A83" s="31" t="s">
        <v>341</v>
      </c>
      <c r="B83" s="60">
        <f t="shared" si="5"/>
        <v>29208.592710000004</v>
      </c>
    </row>
    <row r="84" spans="1:11" ht="17.25" x14ac:dyDescent="0.4">
      <c r="A84" s="31" t="s">
        <v>342</v>
      </c>
      <c r="B84" s="72">
        <f t="shared" si="5"/>
        <v>30084.850491300007</v>
      </c>
      <c r="D84" s="61"/>
      <c r="E84" s="66"/>
    </row>
    <row r="85" spans="1:11" x14ac:dyDescent="0.25">
      <c r="A85" s="31" t="s">
        <v>165</v>
      </c>
      <c r="B85" s="60">
        <f>SUM(B80:B84)</f>
        <v>141913.20020130003</v>
      </c>
      <c r="D85" s="61"/>
      <c r="E85" s="66"/>
    </row>
    <row r="87" spans="1:11" x14ac:dyDescent="0.25">
      <c r="A87" s="31" t="s">
        <v>343</v>
      </c>
      <c r="B87" s="61">
        <f>B85*0.05</f>
        <v>7095.6600100650021</v>
      </c>
    </row>
    <row r="89" spans="1:11" x14ac:dyDescent="0.25">
      <c r="A89" s="31" t="s">
        <v>350</v>
      </c>
      <c r="D89" s="61">
        <f>B$87/4</f>
        <v>1773.9150025162505</v>
      </c>
      <c r="E89" s="66">
        <v>42720</v>
      </c>
      <c r="F89" s="31" t="s">
        <v>345</v>
      </c>
      <c r="K89" s="73"/>
    </row>
    <row r="90" spans="1:11" x14ac:dyDescent="0.25">
      <c r="A90" s="31" t="s">
        <v>351</v>
      </c>
      <c r="D90" s="61">
        <f t="shared" ref="D90:D92" si="6">B$87/4</f>
        <v>1773.9150025162505</v>
      </c>
      <c r="E90" s="66">
        <f>E89+45</f>
        <v>42765</v>
      </c>
      <c r="F90" s="31" t="s">
        <v>345</v>
      </c>
      <c r="K90" s="73"/>
    </row>
    <row r="91" spans="1:11" x14ac:dyDescent="0.25">
      <c r="A91" s="31" t="s">
        <v>352</v>
      </c>
      <c r="D91" s="61">
        <f t="shared" si="6"/>
        <v>1773.9150025162505</v>
      </c>
      <c r="E91" s="66">
        <f>E90+45</f>
        <v>42810</v>
      </c>
      <c r="F91" s="31" t="s">
        <v>345</v>
      </c>
    </row>
    <row r="92" spans="1:11" x14ac:dyDescent="0.25">
      <c r="A92" s="31" t="s">
        <v>353</v>
      </c>
      <c r="D92" s="61">
        <f t="shared" si="6"/>
        <v>1773.9150025162505</v>
      </c>
      <c r="E92" s="66">
        <f>E91+45</f>
        <v>42855</v>
      </c>
      <c r="F92" s="31" t="s">
        <v>345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200</v>
      </c>
    </row>
    <row r="3" spans="1:20" s="19" customFormat="1" x14ac:dyDescent="0.25">
      <c r="D3" s="20" t="s">
        <v>201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202</v>
      </c>
      <c r="R3" s="23">
        <v>2015</v>
      </c>
      <c r="S3" s="21" t="s">
        <v>0</v>
      </c>
      <c r="T3" s="19" t="s">
        <v>203</v>
      </c>
    </row>
    <row r="4" spans="1:20" s="30" customFormat="1" x14ac:dyDescent="0.25">
      <c r="A4" s="24" t="s">
        <v>204</v>
      </c>
      <c r="B4" s="25" t="s">
        <v>205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206</v>
      </c>
      <c r="B5" s="32" t="s">
        <v>205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207</v>
      </c>
      <c r="B6" s="25" t="s">
        <v>205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208</v>
      </c>
      <c r="B7" s="32" t="s">
        <v>205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209</v>
      </c>
      <c r="B8" s="25" t="s">
        <v>205</v>
      </c>
      <c r="C8" s="25" t="s">
        <v>210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213</v>
      </c>
      <c r="B14" s="46" t="s">
        <v>214</v>
      </c>
      <c r="C14" s="46" t="s">
        <v>215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166</v>
      </c>
      <c r="B15" s="13" t="s">
        <v>205</v>
      </c>
      <c r="C15" s="13" t="s">
        <v>194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216</v>
      </c>
      <c r="B16" s="48" t="s">
        <v>205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217</v>
      </c>
      <c r="B17" s="13" t="s">
        <v>205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218</v>
      </c>
      <c r="B18" s="48" t="s">
        <v>205</v>
      </c>
      <c r="C18" s="48" t="s">
        <v>219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220</v>
      </c>
      <c r="B19" s="13" t="s">
        <v>205</v>
      </c>
      <c r="C19" s="13" t="s">
        <v>221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222</v>
      </c>
      <c r="B20" s="48" t="s">
        <v>205</v>
      </c>
      <c r="C20" s="48" t="s">
        <v>223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224</v>
      </c>
      <c r="B21" s="13" t="s">
        <v>205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225</v>
      </c>
      <c r="B22" s="48" t="s">
        <v>205</v>
      </c>
      <c r="C22" s="48" t="s">
        <v>226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227</v>
      </c>
      <c r="B23" s="13" t="s">
        <v>205</v>
      </c>
      <c r="C23" s="13" t="s">
        <v>228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167</v>
      </c>
      <c r="B24" s="48" t="s">
        <v>205</v>
      </c>
      <c r="C24" s="48" t="s">
        <v>192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229</v>
      </c>
      <c r="B25" s="13" t="s">
        <v>205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168</v>
      </c>
      <c r="B26" s="48" t="s">
        <v>205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169</v>
      </c>
      <c r="B27" s="48" t="s">
        <v>205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170</v>
      </c>
      <c r="B28" s="48" t="s">
        <v>205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230</v>
      </c>
      <c r="B29" s="13" t="s">
        <v>205</v>
      </c>
      <c r="C29" s="13" t="s">
        <v>231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232</v>
      </c>
      <c r="B30" s="48" t="s">
        <v>205</v>
      </c>
      <c r="C30" s="48" t="s">
        <v>233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234</v>
      </c>
      <c r="B31" s="13" t="s">
        <v>205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235</v>
      </c>
      <c r="B32" s="48" t="s">
        <v>205</v>
      </c>
      <c r="C32" s="48" t="s">
        <v>236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237</v>
      </c>
      <c r="B33" s="13" t="s">
        <v>205</v>
      </c>
      <c r="C33" s="13" t="s">
        <v>238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239</v>
      </c>
      <c r="B34" s="48" t="s">
        <v>205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240</v>
      </c>
      <c r="B35" s="13" t="s">
        <v>205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241</v>
      </c>
      <c r="B36" s="48" t="s">
        <v>205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242</v>
      </c>
      <c r="B37" s="13" t="s">
        <v>205</v>
      </c>
      <c r="C37" s="13" t="s">
        <v>243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244</v>
      </c>
      <c r="B38" s="48" t="s">
        <v>205</v>
      </c>
      <c r="C38" s="48" t="s">
        <v>245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246</v>
      </c>
      <c r="B39" s="13" t="s">
        <v>205</v>
      </c>
      <c r="C39" s="13" t="s">
        <v>247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171</v>
      </c>
      <c r="B40" s="48" t="s">
        <v>205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248</v>
      </c>
      <c r="B41" s="13" t="s">
        <v>205</v>
      </c>
      <c r="C41" s="13" t="s">
        <v>249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172</v>
      </c>
      <c r="B42" s="48" t="s">
        <v>205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250</v>
      </c>
      <c r="B43" s="13" t="s">
        <v>205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251</v>
      </c>
      <c r="B44" s="48" t="s">
        <v>205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252</v>
      </c>
      <c r="B45" s="13" t="s">
        <v>205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253</v>
      </c>
      <c r="B46" s="48" t="s">
        <v>205</v>
      </c>
      <c r="C46" s="48" t="s">
        <v>254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255</v>
      </c>
      <c r="B47" s="13" t="s">
        <v>205</v>
      </c>
      <c r="C47" s="13" t="s">
        <v>256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257</v>
      </c>
      <c r="B48" s="48" t="s">
        <v>205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258</v>
      </c>
      <c r="B49" s="13" t="s">
        <v>205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259</v>
      </c>
      <c r="B50" s="48" t="s">
        <v>205</v>
      </c>
      <c r="C50" s="48" t="s">
        <v>260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261</v>
      </c>
      <c r="B51" s="13" t="s">
        <v>205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262</v>
      </c>
      <c r="B52" s="48" t="s">
        <v>205</v>
      </c>
      <c r="C52" s="48" t="s">
        <v>263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264</v>
      </c>
      <c r="B53" s="13" t="s">
        <v>205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265</v>
      </c>
      <c r="B54" s="48" t="s">
        <v>205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268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269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270</v>
      </c>
      <c r="B64" s="40" t="s">
        <v>205</v>
      </c>
      <c r="C64" s="40" t="s">
        <v>271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272</v>
      </c>
      <c r="B65" s="40" t="s">
        <v>205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275</v>
      </c>
      <c r="B71" s="40" t="s">
        <v>205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276</v>
      </c>
      <c r="B73" s="40" t="s">
        <v>205</v>
      </c>
      <c r="C73" s="40" t="s">
        <v>277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278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279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283</v>
      </c>
      <c r="O83" s="52" t="s">
        <v>284</v>
      </c>
      <c r="P83" s="15">
        <v>90000</v>
      </c>
    </row>
    <row r="84" spans="1:19" x14ac:dyDescent="0.25">
      <c r="P84" s="53"/>
    </row>
    <row r="85" spans="1:19" x14ac:dyDescent="0.25">
      <c r="O85" s="52" t="s">
        <v>285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11"/>
  <sheetViews>
    <sheetView tabSelected="1" zoomScaleNormal="100" zoomScaleSheetLayoutView="7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11" customWidth="1"/>
    <col min="4" max="15" width="13.7109375" style="110" customWidth="1" outlineLevel="1"/>
    <col min="16" max="16" width="17.140625" style="111" customWidth="1"/>
    <col min="17" max="17" width="17.140625" style="111" customWidth="1" collapsed="1"/>
    <col min="18" max="18" width="11.7109375" style="155" customWidth="1"/>
    <col min="19" max="19" width="63.7109375" customWidth="1"/>
    <col min="20" max="20" width="10.5703125" bestFit="1" customWidth="1"/>
    <col min="21" max="21" width="20.42578125" bestFit="1" customWidth="1"/>
    <col min="22" max="22" width="10.5703125" bestFit="1" customWidth="1"/>
    <col min="23" max="23" width="21.140625" bestFit="1" customWidth="1"/>
    <col min="24" max="28" width="10.5703125" bestFit="1" customWidth="1"/>
  </cols>
  <sheetData>
    <row r="1" spans="1:19" ht="19.5" x14ac:dyDescent="0.25">
      <c r="A1" s="178" t="s">
        <v>489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49"/>
    </row>
    <row r="2" spans="1:19" ht="15.75" x14ac:dyDescent="0.25">
      <c r="A2" s="179" t="s">
        <v>377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50"/>
    </row>
    <row r="3" spans="1:19" x14ac:dyDescent="0.25">
      <c r="A3" s="96"/>
      <c r="B3" s="96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54"/>
    </row>
    <row r="4" spans="1:19" x14ac:dyDescent="0.25">
      <c r="A4" s="96"/>
      <c r="B4" s="96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54"/>
    </row>
    <row r="5" spans="1:19" s="11" customFormat="1" ht="21.75" thickBot="1" x14ac:dyDescent="0.3">
      <c r="A5" s="10"/>
      <c r="B5" s="10"/>
      <c r="C5" s="102" t="s">
        <v>286</v>
      </c>
      <c r="D5" s="114">
        <v>42736</v>
      </c>
      <c r="E5" s="114">
        <v>42767</v>
      </c>
      <c r="F5" s="114">
        <v>42795</v>
      </c>
      <c r="G5" s="114">
        <v>42826</v>
      </c>
      <c r="H5" s="114">
        <v>42856</v>
      </c>
      <c r="I5" s="114">
        <v>42887</v>
      </c>
      <c r="J5" s="114">
        <v>42917</v>
      </c>
      <c r="K5" s="114">
        <v>42948</v>
      </c>
      <c r="L5" s="114">
        <v>42979</v>
      </c>
      <c r="M5" s="114">
        <v>43009</v>
      </c>
      <c r="N5" s="114">
        <v>43040</v>
      </c>
      <c r="O5" s="114">
        <v>43070</v>
      </c>
      <c r="P5" s="102" t="s">
        <v>407</v>
      </c>
      <c r="Q5" s="102" t="s">
        <v>0</v>
      </c>
      <c r="R5" s="151" t="s">
        <v>481</v>
      </c>
      <c r="S5" s="102" t="s">
        <v>203</v>
      </c>
    </row>
    <row r="6" spans="1:19" x14ac:dyDescent="0.25">
      <c r="A6" s="1"/>
      <c r="B6" s="5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52"/>
    </row>
    <row r="7" spans="1:19" x14ac:dyDescent="0.25">
      <c r="A7" s="1" t="s">
        <v>1</v>
      </c>
      <c r="B7" s="5" t="s">
        <v>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52"/>
    </row>
    <row r="8" spans="1:19" x14ac:dyDescent="0.25">
      <c r="A8" s="1"/>
      <c r="B8" s="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52"/>
    </row>
    <row r="9" spans="1:19" x14ac:dyDescent="0.25">
      <c r="A9" s="1" t="s">
        <v>3</v>
      </c>
      <c r="B9" s="5" t="s">
        <v>4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152"/>
    </row>
    <row r="10" spans="1:19" x14ac:dyDescent="0.25">
      <c r="A10" s="1" t="s">
        <v>5</v>
      </c>
      <c r="B10" s="5" t="s">
        <v>6</v>
      </c>
      <c r="C10" s="104">
        <f>SUM(C11:C18)</f>
        <v>636369</v>
      </c>
      <c r="D10" s="104">
        <f>SUM(D11:D18)</f>
        <v>52446.359999999993</v>
      </c>
      <c r="E10" s="104">
        <f>SUM(E11:E18)</f>
        <v>52446.359999999993</v>
      </c>
      <c r="F10" s="104">
        <f>SUM(F11:F18)</f>
        <v>53866.429999999993</v>
      </c>
      <c r="G10" s="104">
        <f>SUM(G11:G18)</f>
        <v>53866.429999999993</v>
      </c>
      <c r="H10" s="104">
        <f>SUM(H11:H18)</f>
        <v>53866.429999999993</v>
      </c>
      <c r="I10" s="104">
        <f>SUM(I11:I18)</f>
        <v>53866.429999999993</v>
      </c>
      <c r="J10" s="104">
        <f>SUM(J11:J18)</f>
        <v>53866.429999999993</v>
      </c>
      <c r="K10" s="104">
        <f>SUM(K11:K18)</f>
        <v>53866.429999999993</v>
      </c>
      <c r="L10" s="104">
        <f>SUM(L11:L18)</f>
        <v>53866.429999999993</v>
      </c>
      <c r="M10" s="104">
        <f>SUM(M11:M18)</f>
        <v>53866.429999999993</v>
      </c>
      <c r="N10" s="104">
        <f>SUM(N11:N18)</f>
        <v>53866.429999999993</v>
      </c>
      <c r="O10" s="104">
        <f>SUM(O11:O18)</f>
        <v>53866.429999999993</v>
      </c>
      <c r="P10" s="104">
        <f>SUM(P11:P18)</f>
        <v>643557.02</v>
      </c>
      <c r="Q10" s="104">
        <f>IF(C10&lt;&gt;"",P10-C10,"")</f>
        <v>7188.0200000000186</v>
      </c>
      <c r="R10" s="153">
        <f>IF(C10&lt;&gt;0,Q10/C10,"")</f>
        <v>1.1295364796211033E-2</v>
      </c>
    </row>
    <row r="11" spans="1:19" outlineLevel="1" x14ac:dyDescent="0.25">
      <c r="A11" s="1"/>
      <c r="B11" s="31" t="s">
        <v>490</v>
      </c>
      <c r="C11" s="98">
        <v>283319</v>
      </c>
      <c r="D11" s="144">
        <f>VLOOKUP($B11,'Min Rent 2017'!$A$5:$P$12,5,FALSE)</f>
        <v>23609.919999999998</v>
      </c>
      <c r="E11" s="144">
        <f>VLOOKUP($B11,'Min Rent 2017'!$A$5:$P$12,6,FALSE)</f>
        <v>23609.919999999998</v>
      </c>
      <c r="F11" s="171">
        <f>VLOOKUP($B11,'Min Rent 2017'!$A$5:$P$12,7,FALSE)</f>
        <v>25029.99</v>
      </c>
      <c r="G11" s="144">
        <f>VLOOKUP($B11,'Min Rent 2017'!$A$5:$P$12,8,FALSE)</f>
        <v>25029.99</v>
      </c>
      <c r="H11" s="144">
        <f>VLOOKUP($B11,'Min Rent 2017'!$A$5:$P$12,9,FALSE)</f>
        <v>25029.99</v>
      </c>
      <c r="I11" s="144">
        <f>VLOOKUP($B11,'Min Rent 2017'!$A$5:$P$12,10,FALSE)</f>
        <v>25029.99</v>
      </c>
      <c r="J11" s="144">
        <f>VLOOKUP($B11,'Min Rent 2017'!$A$5:$P$12,11,FALSE)</f>
        <v>25029.99</v>
      </c>
      <c r="K11" s="144">
        <f>VLOOKUP($B11,'Min Rent 2017'!$A$5:$P$12,12,FALSE)</f>
        <v>25029.99</v>
      </c>
      <c r="L11" s="144">
        <f>VLOOKUP($B11,'Min Rent 2017'!$A$5:$P$12,13,FALSE)</f>
        <v>25029.99</v>
      </c>
      <c r="M11" s="144">
        <f>VLOOKUP($B11,'Min Rent 2017'!$A$5:$P$12,14,FALSE)</f>
        <v>25029.99</v>
      </c>
      <c r="N11" s="144">
        <f>VLOOKUP($B11,'Min Rent 2017'!$A$5:$P$12,15,FALSE)</f>
        <v>25029.99</v>
      </c>
      <c r="O11" s="98">
        <f>VLOOKUP($B11,'Min Rent 2017'!$A$5:$P$12,16,FALSE)</f>
        <v>25029.99</v>
      </c>
      <c r="P11" s="98">
        <f t="shared" ref="P11:P18" si="0">SUM(D11:O11)</f>
        <v>297519.74</v>
      </c>
      <c r="Q11" s="98">
        <f t="shared" ref="Q11:Q55" si="1">IF(C11&lt;&gt;"",P11-C11,"")</f>
        <v>14200.739999999991</v>
      </c>
      <c r="R11" s="153">
        <f t="shared" ref="R11:R55" si="2">IF(C11&lt;&gt;0,Q11/C11,"")</f>
        <v>5.0122794447248473E-2</v>
      </c>
    </row>
    <row r="12" spans="1:19" outlineLevel="1" x14ac:dyDescent="0.25">
      <c r="A12" s="1"/>
      <c r="B12" s="31" t="s">
        <v>491</v>
      </c>
      <c r="C12" s="98">
        <v>32500</v>
      </c>
      <c r="D12" s="144">
        <f>VLOOKUP($B12,'Min Rent 2017'!$A$5:$P$12,5,FALSE)</f>
        <v>2708.33</v>
      </c>
      <c r="E12" s="144">
        <f>VLOOKUP($B12,'Min Rent 2017'!$A$5:$P$12,6,FALSE)</f>
        <v>2708.33</v>
      </c>
      <c r="F12" s="144">
        <f>VLOOKUP($B12,'Min Rent 2017'!$A$5:$P$12,7,FALSE)</f>
        <v>2708.33</v>
      </c>
      <c r="G12" s="144">
        <f>VLOOKUP($B12,'Min Rent 2017'!$A$5:$P$12,8,FALSE)</f>
        <v>2708.33</v>
      </c>
      <c r="H12" s="144">
        <f>VLOOKUP($B12,'Min Rent 2017'!$A$5:$P$12,9,FALSE)</f>
        <v>2708.33</v>
      </c>
      <c r="I12" s="144">
        <f>VLOOKUP($B12,'Min Rent 2017'!$A$5:$P$12,10,FALSE)</f>
        <v>2708.33</v>
      </c>
      <c r="J12" s="144">
        <f>VLOOKUP($B12,'Min Rent 2017'!$A$5:$P$12,11,FALSE)</f>
        <v>2708.33</v>
      </c>
      <c r="K12" s="144">
        <f>VLOOKUP($B12,'Min Rent 2017'!$A$5:$P$12,12,FALSE)</f>
        <v>2708.33</v>
      </c>
      <c r="L12" s="144">
        <f>VLOOKUP($B12,'Min Rent 2017'!$A$5:$P$12,13,FALSE)</f>
        <v>2708.33</v>
      </c>
      <c r="M12" s="144">
        <f>VLOOKUP($B12,'Min Rent 2017'!$A$5:$P$12,14,FALSE)</f>
        <v>2708.33</v>
      </c>
      <c r="N12" s="144">
        <f>VLOOKUP($B12,'Min Rent 2017'!$A$5:$P$12,15,FALSE)</f>
        <v>2708.33</v>
      </c>
      <c r="O12" s="98">
        <f>VLOOKUP($B12,'Min Rent 2017'!$A$5:$P$12,16,FALSE)</f>
        <v>2708.33</v>
      </c>
      <c r="P12" s="98">
        <f t="shared" si="0"/>
        <v>32499.960000000006</v>
      </c>
      <c r="Q12" s="98">
        <f t="shared" si="1"/>
        <v>-3.9999999993597157E-2</v>
      </c>
      <c r="R12" s="153">
        <f t="shared" si="2"/>
        <v>-1.2307692305722202E-6</v>
      </c>
    </row>
    <row r="13" spans="1:19" outlineLevel="1" x14ac:dyDescent="0.25">
      <c r="A13" s="1"/>
      <c r="B13" s="31" t="s">
        <v>492</v>
      </c>
      <c r="C13" s="98">
        <v>50051</v>
      </c>
      <c r="D13" s="144">
        <f>VLOOKUP($B13,'Min Rent 2017'!$A$5:$P$12,5,FALSE)</f>
        <v>3472.73</v>
      </c>
      <c r="E13" s="144">
        <f>VLOOKUP($B13,'Min Rent 2017'!$A$5:$P$12,6,FALSE)</f>
        <v>3472.73</v>
      </c>
      <c r="F13" s="144">
        <f>VLOOKUP($B13,'Min Rent 2017'!$A$5:$P$12,7,FALSE)</f>
        <v>3472.73</v>
      </c>
      <c r="G13" s="144">
        <f>VLOOKUP($B13,'Min Rent 2017'!$A$5:$P$12,8,FALSE)</f>
        <v>3472.73</v>
      </c>
      <c r="H13" s="144">
        <f>VLOOKUP($B13,'Min Rent 2017'!$A$5:$P$12,9,FALSE)</f>
        <v>3472.73</v>
      </c>
      <c r="I13" s="144">
        <f>VLOOKUP($B13,'Min Rent 2017'!$A$5:$P$12,10,FALSE)</f>
        <v>3472.73</v>
      </c>
      <c r="J13" s="144">
        <f>VLOOKUP($B13,'Min Rent 2017'!$A$5:$P$12,11,FALSE)</f>
        <v>3472.73</v>
      </c>
      <c r="K13" s="144">
        <f>VLOOKUP($B13,'Min Rent 2017'!$A$5:$P$12,12,FALSE)</f>
        <v>3472.73</v>
      </c>
      <c r="L13" s="144">
        <f>VLOOKUP($B13,'Min Rent 2017'!$A$5:$P$12,13,FALSE)</f>
        <v>3472.73</v>
      </c>
      <c r="M13" s="144">
        <f>VLOOKUP($B13,'Min Rent 2017'!$A$5:$P$12,14,FALSE)</f>
        <v>3472.73</v>
      </c>
      <c r="N13" s="144">
        <f>VLOOKUP($B13,'Min Rent 2017'!$A$5:$P$12,15,FALSE)</f>
        <v>3472.73</v>
      </c>
      <c r="O13" s="144">
        <f>VLOOKUP($B13,'Min Rent 2017'!$A$5:$P$12,16,FALSE)</f>
        <v>3472.73</v>
      </c>
      <c r="P13" s="98">
        <f t="shared" si="0"/>
        <v>41672.760000000009</v>
      </c>
      <c r="Q13" s="98">
        <f t="shared" si="1"/>
        <v>-8378.2399999999907</v>
      </c>
      <c r="R13" s="153">
        <f t="shared" si="2"/>
        <v>-0.16739405806077781</v>
      </c>
    </row>
    <row r="14" spans="1:19" outlineLevel="1" x14ac:dyDescent="0.25">
      <c r="A14" s="1"/>
      <c r="B14" s="31" t="s">
        <v>493</v>
      </c>
      <c r="C14" s="98">
        <v>48569</v>
      </c>
      <c r="D14" s="171">
        <f>VLOOKUP($B14,'Min Rent 2017'!$A$5:$P$12,5,FALSE)</f>
        <v>4249.79</v>
      </c>
      <c r="E14" s="144">
        <f>VLOOKUP($B14,'Min Rent 2017'!$A$5:$P$12,6,FALSE)</f>
        <v>4249.79</v>
      </c>
      <c r="F14" s="144">
        <f>VLOOKUP($B14,'Min Rent 2017'!$A$5:$P$12,7,FALSE)</f>
        <v>4249.79</v>
      </c>
      <c r="G14" s="144">
        <f>VLOOKUP($B14,'Min Rent 2017'!$A$5:$P$12,8,FALSE)</f>
        <v>4249.79</v>
      </c>
      <c r="H14" s="144">
        <f>VLOOKUP($B14,'Min Rent 2017'!$A$5:$P$12,9,FALSE)</f>
        <v>4249.79</v>
      </c>
      <c r="I14" s="144">
        <f>VLOOKUP($B14,'Min Rent 2017'!$A$5:$P$12,10,FALSE)</f>
        <v>4249.79</v>
      </c>
      <c r="J14" s="144">
        <f>VLOOKUP($B14,'Min Rent 2017'!$A$5:$P$12,11,FALSE)</f>
        <v>4249.79</v>
      </c>
      <c r="K14" s="144">
        <f>VLOOKUP($B14,'Min Rent 2017'!$A$5:$P$12,12,FALSE)</f>
        <v>4249.79</v>
      </c>
      <c r="L14" s="144">
        <f>VLOOKUP($B14,'Min Rent 2017'!$A$5:$P$12,13,FALSE)</f>
        <v>4249.79</v>
      </c>
      <c r="M14" s="144">
        <f>VLOOKUP($B14,'Min Rent 2017'!$A$5:$P$12,14,FALSE)</f>
        <v>4249.79</v>
      </c>
      <c r="N14" s="144">
        <f>VLOOKUP($B14,'Min Rent 2017'!$A$5:$P$12,15,FALSE)</f>
        <v>4249.79</v>
      </c>
      <c r="O14" s="144">
        <f>VLOOKUP($B14,'Min Rent 2017'!$A$5:$P$12,16,FALSE)</f>
        <v>4249.79</v>
      </c>
      <c r="P14" s="98">
        <f t="shared" si="0"/>
        <v>50997.48</v>
      </c>
      <c r="Q14" s="98">
        <f t="shared" si="1"/>
        <v>2428.4800000000032</v>
      </c>
      <c r="R14" s="153">
        <f t="shared" si="2"/>
        <v>5.0000617677942789E-2</v>
      </c>
    </row>
    <row r="15" spans="1:19" outlineLevel="1" x14ac:dyDescent="0.25">
      <c r="A15" s="1"/>
      <c r="B15" s="31" t="s">
        <v>494</v>
      </c>
      <c r="C15" s="98">
        <v>37800</v>
      </c>
      <c r="D15" s="144">
        <f>VLOOKUP($B15,'Min Rent 2017'!$A$5:$P$12,5,FALSE)</f>
        <v>3150</v>
      </c>
      <c r="E15" s="144">
        <f>VLOOKUP($B15,'Min Rent 2017'!$A$5:$P$12,6,FALSE)</f>
        <v>3150</v>
      </c>
      <c r="F15" s="144">
        <f>VLOOKUP($B15,'Min Rent 2017'!$A$5:$P$12,7,FALSE)</f>
        <v>3150</v>
      </c>
      <c r="G15" s="144">
        <f>VLOOKUP($B15,'Min Rent 2017'!$A$5:$P$12,8,FALSE)</f>
        <v>3150</v>
      </c>
      <c r="H15" s="144">
        <f>VLOOKUP($B15,'Min Rent 2017'!$A$5:$P$12,9,FALSE)</f>
        <v>3150</v>
      </c>
      <c r="I15" s="144">
        <f>VLOOKUP($B15,'Min Rent 2017'!$A$5:$P$12,10,FALSE)</f>
        <v>3150</v>
      </c>
      <c r="J15" s="144">
        <f>VLOOKUP($B15,'Min Rent 2017'!$A$5:$P$12,11,FALSE)</f>
        <v>3150</v>
      </c>
      <c r="K15" s="144">
        <f>VLOOKUP($B15,'Min Rent 2017'!$A$5:$P$12,12,FALSE)</f>
        <v>3150</v>
      </c>
      <c r="L15" s="144">
        <f>VLOOKUP($B15,'Min Rent 2017'!$A$5:$P$12,13,FALSE)</f>
        <v>3150</v>
      </c>
      <c r="M15" s="144">
        <f>VLOOKUP($B15,'Min Rent 2017'!$A$5:$P$12,14,FALSE)</f>
        <v>3150</v>
      </c>
      <c r="N15" s="144">
        <f>VLOOKUP($B15,'Min Rent 2017'!$A$5:$P$12,15,FALSE)</f>
        <v>3150</v>
      </c>
      <c r="O15" s="144">
        <f>VLOOKUP($B15,'Min Rent 2017'!$A$5:$P$12,16,FALSE)</f>
        <v>3150</v>
      </c>
      <c r="P15" s="98">
        <f t="shared" si="0"/>
        <v>37800</v>
      </c>
      <c r="Q15" s="98">
        <f t="shared" si="1"/>
        <v>0</v>
      </c>
      <c r="R15" s="153">
        <f t="shared" si="2"/>
        <v>0</v>
      </c>
    </row>
    <row r="16" spans="1:19" outlineLevel="1" x14ac:dyDescent="0.25">
      <c r="A16" s="7"/>
      <c r="B16" s="31" t="s">
        <v>495</v>
      </c>
      <c r="C16" s="98">
        <v>52063</v>
      </c>
      <c r="D16" s="144">
        <f>VLOOKUP($B16,'Min Rent 2017'!$A$5:$P$12,5,FALSE)</f>
        <v>4250</v>
      </c>
      <c r="E16" s="144">
        <f>VLOOKUP($B16,'Min Rent 2017'!$A$5:$P$12,6,FALSE)</f>
        <v>4250</v>
      </c>
      <c r="F16" s="144">
        <f>VLOOKUP($B16,'Min Rent 2017'!$A$5:$P$12,7,FALSE)</f>
        <v>4250</v>
      </c>
      <c r="G16" s="144">
        <f>VLOOKUP($B16,'Min Rent 2017'!$A$5:$P$12,8,FALSE)</f>
        <v>4250</v>
      </c>
      <c r="H16" s="144">
        <f>VLOOKUP($B16,'Min Rent 2017'!$A$5:$P$12,9,FALSE)</f>
        <v>4250</v>
      </c>
      <c r="I16" s="144">
        <f>VLOOKUP($B16,'Min Rent 2017'!$A$5:$P$12,10,FALSE)</f>
        <v>4250</v>
      </c>
      <c r="J16" s="144">
        <f>VLOOKUP($B16,'Min Rent 2017'!$A$5:$P$12,11,FALSE)</f>
        <v>4250</v>
      </c>
      <c r="K16" s="144">
        <f>VLOOKUP($B16,'Min Rent 2017'!$A$5:$P$12,12,FALSE)</f>
        <v>4250</v>
      </c>
      <c r="L16" s="144">
        <f>VLOOKUP($B16,'Min Rent 2017'!$A$5:$P$12,13,FALSE)</f>
        <v>4250</v>
      </c>
      <c r="M16" s="144">
        <f>VLOOKUP($B16,'Min Rent 2017'!$A$5:$P$12,14,FALSE)</f>
        <v>4250</v>
      </c>
      <c r="N16" s="144">
        <f>VLOOKUP($B16,'Min Rent 2017'!$A$5:$P$12,15,FALSE)</f>
        <v>4250</v>
      </c>
      <c r="O16" s="144">
        <f>VLOOKUP($B16,'Min Rent 2017'!$A$5:$P$12,16,FALSE)</f>
        <v>4250</v>
      </c>
      <c r="P16" s="98">
        <f t="shared" si="0"/>
        <v>51000</v>
      </c>
      <c r="Q16" s="98">
        <f t="shared" si="1"/>
        <v>-1063</v>
      </c>
      <c r="R16" s="153">
        <f t="shared" si="2"/>
        <v>-2.0417571019726102E-2</v>
      </c>
    </row>
    <row r="17" spans="1:18" outlineLevel="1" x14ac:dyDescent="0.25">
      <c r="A17" s="7"/>
      <c r="B17" s="31" t="s">
        <v>496</v>
      </c>
      <c r="C17" s="98">
        <v>91010</v>
      </c>
      <c r="D17" s="144">
        <f>VLOOKUP($B17,'Min Rent 2017'!$A$5:$P$12,5,FALSE)</f>
        <v>7584.17</v>
      </c>
      <c r="E17" s="144">
        <f>VLOOKUP($B17,'Min Rent 2017'!$A$5:$P$12,6,FALSE)</f>
        <v>7584.17</v>
      </c>
      <c r="F17" s="144">
        <f>VLOOKUP($B17,'Min Rent 2017'!$A$5:$P$12,7,FALSE)</f>
        <v>7584.17</v>
      </c>
      <c r="G17" s="144">
        <f>VLOOKUP($B17,'Min Rent 2017'!$A$5:$P$12,8,FALSE)</f>
        <v>7584.17</v>
      </c>
      <c r="H17" s="144">
        <f>VLOOKUP($B17,'Min Rent 2017'!$A$5:$P$12,9,FALSE)</f>
        <v>7584.17</v>
      </c>
      <c r="I17" s="144">
        <f>VLOOKUP($B17,'Min Rent 2017'!$A$5:$P$12,10,FALSE)</f>
        <v>7584.17</v>
      </c>
      <c r="J17" s="144">
        <f>VLOOKUP($B17,'Min Rent 2017'!$A$5:$P$12,11,FALSE)</f>
        <v>7584.17</v>
      </c>
      <c r="K17" s="144">
        <f>VLOOKUP($B17,'Min Rent 2017'!$A$5:$P$12,12,FALSE)</f>
        <v>7584.17</v>
      </c>
      <c r="L17" s="144">
        <f>VLOOKUP($B17,'Min Rent 2017'!$A$5:$P$12,13,FALSE)</f>
        <v>7584.17</v>
      </c>
      <c r="M17" s="144">
        <f>VLOOKUP($B17,'Min Rent 2017'!$A$5:$P$12,14,FALSE)</f>
        <v>7584.17</v>
      </c>
      <c r="N17" s="144">
        <f>VLOOKUP($B17,'Min Rent 2017'!$A$5:$P$12,15,FALSE)</f>
        <v>7584.17</v>
      </c>
      <c r="O17" s="144">
        <f>VLOOKUP($B17,'Min Rent 2017'!$A$5:$P$12,16,FALSE)</f>
        <v>7584.17</v>
      </c>
      <c r="P17" s="98">
        <f t="shared" si="0"/>
        <v>91010.04</v>
      </c>
      <c r="Q17" s="98">
        <f t="shared" si="1"/>
        <v>3.9999999993597157E-2</v>
      </c>
      <c r="R17" s="153">
        <f t="shared" si="2"/>
        <v>4.395121414525564E-7</v>
      </c>
    </row>
    <row r="18" spans="1:18" outlineLevel="1" x14ac:dyDescent="0.25">
      <c r="A18" s="7"/>
      <c r="B18" s="31" t="s">
        <v>497</v>
      </c>
      <c r="C18" s="98">
        <v>41057</v>
      </c>
      <c r="D18" s="144">
        <f>VLOOKUP($B18,'Min Rent 2017'!$A$5:$P$12,5,FALSE)</f>
        <v>3421.42</v>
      </c>
      <c r="E18" s="144">
        <f>VLOOKUP($B18,'Min Rent 2017'!$A$5:$P$12,6,FALSE)</f>
        <v>3421.42</v>
      </c>
      <c r="F18" s="144">
        <f>VLOOKUP($B18,'Min Rent 2017'!$A$5:$P$12,7,FALSE)</f>
        <v>3421.42</v>
      </c>
      <c r="G18" s="144">
        <f>VLOOKUP($B18,'Min Rent 2017'!$A$5:$P$12,8,FALSE)</f>
        <v>3421.42</v>
      </c>
      <c r="H18" s="144">
        <f>VLOOKUP($B18,'Min Rent 2017'!$A$5:$P$12,9,FALSE)</f>
        <v>3421.42</v>
      </c>
      <c r="I18" s="144">
        <f>VLOOKUP($B18,'Min Rent 2017'!$A$5:$P$12,10,FALSE)</f>
        <v>3421.42</v>
      </c>
      <c r="J18" s="144">
        <f>VLOOKUP($B18,'Min Rent 2017'!$A$5:$P$12,11,FALSE)</f>
        <v>3421.42</v>
      </c>
      <c r="K18" s="144">
        <f>VLOOKUP($B18,'Min Rent 2017'!$A$5:$P$12,12,FALSE)</f>
        <v>3421.42</v>
      </c>
      <c r="L18" s="144">
        <f>VLOOKUP($B18,'Min Rent 2017'!$A$5:$P$12,13,FALSE)</f>
        <v>3421.42</v>
      </c>
      <c r="M18" s="144">
        <f>VLOOKUP($B18,'Min Rent 2017'!$A$5:$P$12,14,FALSE)</f>
        <v>3421.42</v>
      </c>
      <c r="N18" s="144">
        <f>VLOOKUP($B18,'Min Rent 2017'!$A$5:$P$12,15,FALSE)</f>
        <v>3421.42</v>
      </c>
      <c r="O18" s="98">
        <f>VLOOKUP($B18,'Min Rent 2017'!$A$5:$P$12,16,FALSE)</f>
        <v>3421.42</v>
      </c>
      <c r="P18" s="98">
        <f t="shared" si="0"/>
        <v>41057.039999999986</v>
      </c>
      <c r="Q18" s="98">
        <f t="shared" si="1"/>
        <v>3.99999999863212E-2</v>
      </c>
      <c r="R18" s="153">
        <f t="shared" si="2"/>
        <v>9.7425530326914292E-7</v>
      </c>
    </row>
    <row r="19" spans="1:18" x14ac:dyDescent="0.25">
      <c r="A19" s="1" t="s">
        <v>7</v>
      </c>
      <c r="B19" s="5" t="s">
        <v>8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>
        <v>0</v>
      </c>
      <c r="Q19" s="98" t="str">
        <f t="shared" si="1"/>
        <v/>
      </c>
      <c r="R19" s="153" t="str">
        <f t="shared" si="2"/>
        <v/>
      </c>
    </row>
    <row r="20" spans="1:18" ht="15.75" thickBot="1" x14ac:dyDescent="0.3">
      <c r="A20" s="1"/>
      <c r="B20" s="5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 t="str">
        <f t="shared" si="1"/>
        <v/>
      </c>
      <c r="R20" s="153" t="str">
        <f t="shared" si="2"/>
        <v/>
      </c>
    </row>
    <row r="21" spans="1:18" s="91" customFormat="1" x14ac:dyDescent="0.25">
      <c r="A21" s="6" t="s">
        <v>9</v>
      </c>
      <c r="B21" s="3" t="s">
        <v>10</v>
      </c>
      <c r="C21" s="100">
        <f>SUM(C11:C18)</f>
        <v>636369</v>
      </c>
      <c r="D21" s="100">
        <f>SUM(D11:D18)</f>
        <v>52446.359999999993</v>
      </c>
      <c r="E21" s="100">
        <f>SUM(E11:E18)</f>
        <v>52446.359999999993</v>
      </c>
      <c r="F21" s="100">
        <f>SUM(F11:F18)</f>
        <v>53866.429999999993</v>
      </c>
      <c r="G21" s="100">
        <f>SUM(G11:G18)</f>
        <v>53866.429999999993</v>
      </c>
      <c r="H21" s="100">
        <f>SUM(H11:H18)</f>
        <v>53866.429999999993</v>
      </c>
      <c r="I21" s="100">
        <f>SUM(I11:I18)</f>
        <v>53866.429999999993</v>
      </c>
      <c r="J21" s="100">
        <f>SUM(J11:J18)</f>
        <v>53866.429999999993</v>
      </c>
      <c r="K21" s="100">
        <f>SUM(K11:K18)</f>
        <v>53866.429999999993</v>
      </c>
      <c r="L21" s="100">
        <f>SUM(L11:L18)</f>
        <v>53866.429999999993</v>
      </c>
      <c r="M21" s="100">
        <f>SUM(M11:M18)</f>
        <v>53866.429999999993</v>
      </c>
      <c r="N21" s="100">
        <f>SUM(N11:N18)</f>
        <v>53866.429999999993</v>
      </c>
      <c r="O21" s="100">
        <f>SUM(O11:O18)</f>
        <v>53866.429999999993</v>
      </c>
      <c r="P21" s="100">
        <f>SUM(P11:P18)</f>
        <v>643557.02</v>
      </c>
      <c r="Q21" s="100">
        <f>SUM(Q11:Q18)</f>
        <v>7188.0199999999895</v>
      </c>
      <c r="R21" s="153">
        <f t="shared" si="2"/>
        <v>1.1295364796210986E-2</v>
      </c>
    </row>
    <row r="22" spans="1:18" x14ac:dyDescent="0.25">
      <c r="A22" s="1"/>
      <c r="B22" s="5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 t="str">
        <f t="shared" si="1"/>
        <v/>
      </c>
      <c r="R22" s="153" t="str">
        <f t="shared" si="2"/>
        <v/>
      </c>
    </row>
    <row r="23" spans="1:18" x14ac:dyDescent="0.25">
      <c r="A23" s="1" t="s">
        <v>11</v>
      </c>
      <c r="B23" s="5" t="s">
        <v>12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 t="str">
        <f t="shared" si="1"/>
        <v/>
      </c>
      <c r="R23" s="153" t="str">
        <f t="shared" si="2"/>
        <v/>
      </c>
    </row>
    <row r="24" spans="1:18" x14ac:dyDescent="0.25">
      <c r="A24" s="1" t="s">
        <v>13</v>
      </c>
      <c r="B24" s="5" t="s">
        <v>14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>
        <v>0</v>
      </c>
      <c r="Q24" s="98" t="str">
        <f t="shared" si="1"/>
        <v/>
      </c>
      <c r="R24" s="153" t="str">
        <f t="shared" si="2"/>
        <v/>
      </c>
    </row>
    <row r="25" spans="1:18" x14ac:dyDescent="0.25">
      <c r="A25" s="1" t="s">
        <v>15</v>
      </c>
      <c r="B25" s="5" t="s">
        <v>16</v>
      </c>
      <c r="C25" s="104">
        <f>SUM(C26:C33)</f>
        <v>154545</v>
      </c>
      <c r="D25" s="104">
        <f>ROUND(SUM(D26:D33),0)</f>
        <v>6808</v>
      </c>
      <c r="E25" s="104">
        <f>ROUND(SUM(E26:E33),0)</f>
        <v>6808</v>
      </c>
      <c r="F25" s="104">
        <f>ROUND(SUM(F26:F33),0)</f>
        <v>6808</v>
      </c>
      <c r="G25" s="104">
        <f>ROUND(SUM(G26:G33),0)</f>
        <v>6808</v>
      </c>
      <c r="H25" s="104">
        <f>ROUND(SUM(H26:H33),0)</f>
        <v>6808</v>
      </c>
      <c r="I25" s="104">
        <f>ROUND(SUM(I26:I33),0)</f>
        <v>6808</v>
      </c>
      <c r="J25" s="104">
        <f>ROUND(SUM(J26:J33),0)</f>
        <v>6808</v>
      </c>
      <c r="K25" s="104">
        <f>ROUND(SUM(K26:K33),0)</f>
        <v>6808</v>
      </c>
      <c r="L25" s="104">
        <f>ROUND(SUM(L26:L33),0)</f>
        <v>6808</v>
      </c>
      <c r="M25" s="104">
        <f>ROUND(SUM(M26:M33),0)</f>
        <v>6808</v>
      </c>
      <c r="N25" s="104">
        <f>ROUND(SUM(N26:N33),0)</f>
        <v>6808</v>
      </c>
      <c r="O25" s="104">
        <f>ROUND(SUM(O26:O33),0)</f>
        <v>6808</v>
      </c>
      <c r="P25" s="104">
        <f>ROUND(SUM(P26:P33),0)</f>
        <v>81695</v>
      </c>
      <c r="Q25" s="104">
        <f t="shared" si="1"/>
        <v>-72850</v>
      </c>
      <c r="R25" s="153">
        <f t="shared" si="2"/>
        <v>-0.47138373936393929</v>
      </c>
    </row>
    <row r="26" spans="1:18" outlineLevel="1" x14ac:dyDescent="0.25">
      <c r="A26" s="1"/>
      <c r="B26" s="31" t="s">
        <v>490</v>
      </c>
      <c r="C26" s="98">
        <v>89076</v>
      </c>
      <c r="D26" s="98">
        <f>VLOOKUP($B26,'CAM est 2017'!$A$6:$P$13,5,FALSE)</f>
        <v>3552.17</v>
      </c>
      <c r="E26" s="98">
        <f>VLOOKUP($B$26,'CAM est 2017'!$A$6:$P$13,5,FALSE)</f>
        <v>3552.17</v>
      </c>
      <c r="F26" s="98">
        <f>VLOOKUP($B$26,'CAM est 2017'!$A$6:$P$13,5,FALSE)</f>
        <v>3552.17</v>
      </c>
      <c r="G26" s="98">
        <f>VLOOKUP($B$26,'CAM est 2017'!$A$6:$P$13,5,FALSE)</f>
        <v>3552.17</v>
      </c>
      <c r="H26" s="98">
        <f>VLOOKUP($B$26,'CAM est 2017'!$A$6:$P$13,5,FALSE)</f>
        <v>3552.17</v>
      </c>
      <c r="I26" s="98">
        <f>VLOOKUP($B$26,'CAM est 2017'!$A$6:$P$13,5,FALSE)</f>
        <v>3552.17</v>
      </c>
      <c r="J26" s="98">
        <f>VLOOKUP($B$26,'CAM est 2017'!$A$6:$P$13,5,FALSE)</f>
        <v>3552.17</v>
      </c>
      <c r="K26" s="98">
        <f>VLOOKUP($B$26,'CAM est 2017'!$A$6:$P$13,5,FALSE)</f>
        <v>3552.17</v>
      </c>
      <c r="L26" s="98">
        <f>VLOOKUP($B$26,'CAM est 2017'!$A$6:$P$13,5,FALSE)</f>
        <v>3552.17</v>
      </c>
      <c r="M26" s="98">
        <f>VLOOKUP($B$26,'CAM est 2017'!$A$6:$P$13,5,FALSE)</f>
        <v>3552.17</v>
      </c>
      <c r="N26" s="98">
        <f>VLOOKUP($B$26,'CAM est 2017'!$A$6:$P$13,5,FALSE)</f>
        <v>3552.17</v>
      </c>
      <c r="O26" s="98">
        <f>VLOOKUP($B$26,'CAM est 2017'!$A$6:$P$13,5,FALSE)</f>
        <v>3552.17</v>
      </c>
      <c r="P26" s="98">
        <f t="shared" ref="P26:P36" si="3">SUM(D26:O26)</f>
        <v>42626.039999999986</v>
      </c>
      <c r="Q26" s="98">
        <f t="shared" si="1"/>
        <v>-46449.960000000014</v>
      </c>
      <c r="R26" s="153">
        <f t="shared" si="2"/>
        <v>-0.52146436750639913</v>
      </c>
    </row>
    <row r="27" spans="1:18" outlineLevel="1" x14ac:dyDescent="0.25">
      <c r="A27" s="1"/>
      <c r="B27" s="31" t="s">
        <v>491</v>
      </c>
      <c r="C27" s="98">
        <v>8843</v>
      </c>
      <c r="D27" s="98">
        <f>VLOOKUP($B27,'CAM est 2017'!$A$6:$P$13,5,FALSE)</f>
        <v>395.44</v>
      </c>
      <c r="E27" s="98">
        <f>VLOOKUP($B27,'CAM est 2017'!$A$6:$P$13,5,FALSE)</f>
        <v>395.44</v>
      </c>
      <c r="F27" s="98">
        <f>VLOOKUP($B27,'CAM est 2017'!$A$6:$P$13,5,FALSE)</f>
        <v>395.44</v>
      </c>
      <c r="G27" s="98">
        <f>VLOOKUP($B27,'CAM est 2017'!$A$6:$P$13,5,FALSE)</f>
        <v>395.44</v>
      </c>
      <c r="H27" s="98">
        <f>VLOOKUP($B27,'CAM est 2017'!$A$6:$P$13,5,FALSE)</f>
        <v>395.44</v>
      </c>
      <c r="I27" s="98">
        <f>VLOOKUP($B27,'CAM est 2017'!$A$6:$P$13,5,FALSE)</f>
        <v>395.44</v>
      </c>
      <c r="J27" s="98">
        <f>VLOOKUP($B27,'CAM est 2017'!$A$6:$P$13,5,FALSE)</f>
        <v>395.44</v>
      </c>
      <c r="K27" s="98">
        <f>VLOOKUP($B27,'CAM est 2017'!$A$6:$P$13,5,FALSE)</f>
        <v>395.44</v>
      </c>
      <c r="L27" s="98">
        <f>VLOOKUP($B27,'CAM est 2017'!$A$6:$P$13,5,FALSE)</f>
        <v>395.44</v>
      </c>
      <c r="M27" s="98">
        <f>VLOOKUP($B27,'CAM est 2017'!$A$6:$P$13,5,FALSE)</f>
        <v>395.44</v>
      </c>
      <c r="N27" s="98">
        <f>VLOOKUP($B27,'CAM est 2017'!$A$6:$P$13,5,FALSE)</f>
        <v>395.44</v>
      </c>
      <c r="O27" s="98">
        <f>VLOOKUP($B27,'CAM est 2017'!$A$6:$P$13,5,FALSE)</f>
        <v>395.44</v>
      </c>
      <c r="P27" s="98">
        <f t="shared" si="3"/>
        <v>4745.28</v>
      </c>
      <c r="Q27" s="98">
        <f t="shared" si="1"/>
        <v>-4097.72</v>
      </c>
      <c r="R27" s="153">
        <f t="shared" si="2"/>
        <v>-0.46338572882505941</v>
      </c>
    </row>
    <row r="28" spans="1:18" outlineLevel="1" x14ac:dyDescent="0.25">
      <c r="A28" s="1"/>
      <c r="B28" s="31" t="s">
        <v>492</v>
      </c>
      <c r="C28" s="98">
        <v>5012</v>
      </c>
      <c r="D28" s="98">
        <f>VLOOKUP($B28,'CAM est 2017'!$A$6:$P$13,5,FALSE)</f>
        <v>258.31</v>
      </c>
      <c r="E28" s="98">
        <f>VLOOKUP($B28,'CAM est 2017'!$A$6:$P$13,5,FALSE)</f>
        <v>258.31</v>
      </c>
      <c r="F28" s="98">
        <f>VLOOKUP($B28,'CAM est 2017'!$A$6:$P$13,5,FALSE)</f>
        <v>258.31</v>
      </c>
      <c r="G28" s="98">
        <f>VLOOKUP($B28,'CAM est 2017'!$A$6:$P$13,5,FALSE)</f>
        <v>258.31</v>
      </c>
      <c r="H28" s="98">
        <f>VLOOKUP($B28,'CAM est 2017'!$A$6:$P$13,5,FALSE)</f>
        <v>258.31</v>
      </c>
      <c r="I28" s="98">
        <f>VLOOKUP($B28,'CAM est 2017'!$A$6:$P$13,5,FALSE)</f>
        <v>258.31</v>
      </c>
      <c r="J28" s="98">
        <f>VLOOKUP($B28,'CAM est 2017'!$A$6:$P$13,5,FALSE)</f>
        <v>258.31</v>
      </c>
      <c r="K28" s="98">
        <f>VLOOKUP($B28,'CAM est 2017'!$A$6:$P$13,5,FALSE)</f>
        <v>258.31</v>
      </c>
      <c r="L28" s="98">
        <f>VLOOKUP($B28,'CAM est 2017'!$A$6:$P$13,5,FALSE)</f>
        <v>258.31</v>
      </c>
      <c r="M28" s="98">
        <f>VLOOKUP($B28,'CAM est 2017'!$A$6:$P$13,5,FALSE)</f>
        <v>258.31</v>
      </c>
      <c r="N28" s="98">
        <f>VLOOKUP($B28,'CAM est 2017'!$A$6:$P$13,5,FALSE)</f>
        <v>258.31</v>
      </c>
      <c r="O28" s="98">
        <f>VLOOKUP($B28,'CAM est 2017'!$A$6:$P$13,5,FALSE)</f>
        <v>258.31</v>
      </c>
      <c r="P28" s="98">
        <f t="shared" si="3"/>
        <v>3099.72</v>
      </c>
      <c r="Q28" s="98">
        <f t="shared" si="1"/>
        <v>-1912.2800000000002</v>
      </c>
      <c r="R28" s="153">
        <f t="shared" si="2"/>
        <v>-0.38154030327214689</v>
      </c>
    </row>
    <row r="29" spans="1:18" outlineLevel="1" x14ac:dyDescent="0.25">
      <c r="A29" s="1"/>
      <c r="B29" s="31" t="s">
        <v>493</v>
      </c>
      <c r="C29" s="98">
        <v>6303</v>
      </c>
      <c r="D29" s="98">
        <f>VLOOKUP($B29,'CAM est 2017'!$A$6:$P$13,5,FALSE)</f>
        <v>885.53</v>
      </c>
      <c r="E29" s="98">
        <f>VLOOKUP($B29,'CAM est 2017'!$A$6:$P$13,5,FALSE)</f>
        <v>885.53</v>
      </c>
      <c r="F29" s="98">
        <f>VLOOKUP($B29,'CAM est 2017'!$A$6:$P$13,5,FALSE)</f>
        <v>885.53</v>
      </c>
      <c r="G29" s="98">
        <f>VLOOKUP($B29,'CAM est 2017'!$A$6:$P$13,5,FALSE)</f>
        <v>885.53</v>
      </c>
      <c r="H29" s="98">
        <f>VLOOKUP($B29,'CAM est 2017'!$A$6:$P$13,5,FALSE)</f>
        <v>885.53</v>
      </c>
      <c r="I29" s="98">
        <f>VLOOKUP($B29,'CAM est 2017'!$A$6:$P$13,5,FALSE)</f>
        <v>885.53</v>
      </c>
      <c r="J29" s="98">
        <f>VLOOKUP($B29,'CAM est 2017'!$A$6:$P$13,5,FALSE)</f>
        <v>885.53</v>
      </c>
      <c r="K29" s="98">
        <f>VLOOKUP($B29,'CAM est 2017'!$A$6:$P$13,5,FALSE)</f>
        <v>885.53</v>
      </c>
      <c r="L29" s="98">
        <f>VLOOKUP($B29,'CAM est 2017'!$A$6:$P$13,5,FALSE)</f>
        <v>885.53</v>
      </c>
      <c r="M29" s="98">
        <f>VLOOKUP($B29,'CAM est 2017'!$A$6:$P$13,5,FALSE)</f>
        <v>885.53</v>
      </c>
      <c r="N29" s="98">
        <f>VLOOKUP($B29,'CAM est 2017'!$A$6:$P$13,5,FALSE)</f>
        <v>885.53</v>
      </c>
      <c r="O29" s="98">
        <f>VLOOKUP($B29,'CAM est 2017'!$A$6:$P$13,5,FALSE)</f>
        <v>885.53</v>
      </c>
      <c r="P29" s="98">
        <f t="shared" si="3"/>
        <v>10626.36</v>
      </c>
      <c r="Q29" s="98">
        <f t="shared" si="1"/>
        <v>4323.3600000000006</v>
      </c>
      <c r="R29" s="153">
        <f t="shared" si="2"/>
        <v>0.6859209900047597</v>
      </c>
    </row>
    <row r="30" spans="1:18" outlineLevel="1" x14ac:dyDescent="0.25">
      <c r="A30" s="1"/>
      <c r="B30" s="31" t="s">
        <v>494</v>
      </c>
      <c r="C30" s="98">
        <v>0</v>
      </c>
      <c r="D30" s="98">
        <f>VLOOKUP($B30,'CAM est 2017'!$A$6:$P$13,5,FALSE)</f>
        <v>0</v>
      </c>
      <c r="E30" s="98">
        <f>VLOOKUP($B30,'CAM est 2017'!$A$6:$P$13,5,FALSE)</f>
        <v>0</v>
      </c>
      <c r="F30" s="98">
        <f>VLOOKUP($B30,'CAM est 2017'!$A$6:$P$13,5,FALSE)</f>
        <v>0</v>
      </c>
      <c r="G30" s="98">
        <f>VLOOKUP($B30,'CAM est 2017'!$A$6:$P$13,5,FALSE)</f>
        <v>0</v>
      </c>
      <c r="H30" s="98">
        <f>VLOOKUP($B30,'CAM est 2017'!$A$6:$P$13,5,FALSE)</f>
        <v>0</v>
      </c>
      <c r="I30" s="98">
        <f>VLOOKUP($B30,'CAM est 2017'!$A$6:$P$13,5,FALSE)</f>
        <v>0</v>
      </c>
      <c r="J30" s="98">
        <f>VLOOKUP($B30,'CAM est 2017'!$A$6:$P$13,5,FALSE)</f>
        <v>0</v>
      </c>
      <c r="K30" s="98">
        <f>VLOOKUP($B30,'CAM est 2017'!$A$6:$P$13,5,FALSE)</f>
        <v>0</v>
      </c>
      <c r="L30" s="98">
        <f>VLOOKUP($B30,'CAM est 2017'!$A$6:$P$13,5,FALSE)</f>
        <v>0</v>
      </c>
      <c r="M30" s="98">
        <f>VLOOKUP($B30,'CAM est 2017'!$A$6:$P$13,5,FALSE)</f>
        <v>0</v>
      </c>
      <c r="N30" s="98">
        <f>VLOOKUP($B30,'CAM est 2017'!$A$6:$P$13,5,FALSE)</f>
        <v>0</v>
      </c>
      <c r="O30" s="98">
        <f>VLOOKUP($B30,'CAM est 2017'!$A$6:$P$13,5,FALSE)</f>
        <v>0</v>
      </c>
      <c r="P30" s="98">
        <f t="shared" si="3"/>
        <v>0</v>
      </c>
      <c r="Q30" s="98">
        <f t="shared" si="1"/>
        <v>0</v>
      </c>
      <c r="R30" s="153" t="str">
        <f t="shared" si="2"/>
        <v/>
      </c>
    </row>
    <row r="31" spans="1:18" outlineLevel="1" x14ac:dyDescent="0.25">
      <c r="A31" s="1"/>
      <c r="B31" s="31" t="s">
        <v>495</v>
      </c>
      <c r="C31" s="98">
        <v>12530</v>
      </c>
      <c r="D31" s="98">
        <f>VLOOKUP($B31,'CAM est 2017'!$A$6:$P$13,5,FALSE)</f>
        <v>435.93</v>
      </c>
      <c r="E31" s="98">
        <f>VLOOKUP($B31,'CAM est 2017'!$A$6:$P$13,5,FALSE)</f>
        <v>435.93</v>
      </c>
      <c r="F31" s="98">
        <f>VLOOKUP($B31,'CAM est 2017'!$A$6:$P$13,5,FALSE)</f>
        <v>435.93</v>
      </c>
      <c r="G31" s="98">
        <f>VLOOKUP($B31,'CAM est 2017'!$A$6:$P$13,5,FALSE)</f>
        <v>435.93</v>
      </c>
      <c r="H31" s="98">
        <f>VLOOKUP($B31,'CAM est 2017'!$A$6:$P$13,5,FALSE)</f>
        <v>435.93</v>
      </c>
      <c r="I31" s="98">
        <f>VLOOKUP($B31,'CAM est 2017'!$A$6:$P$13,5,FALSE)</f>
        <v>435.93</v>
      </c>
      <c r="J31" s="98">
        <f>VLOOKUP($B31,'CAM est 2017'!$A$6:$P$13,5,FALSE)</f>
        <v>435.93</v>
      </c>
      <c r="K31" s="98">
        <f>VLOOKUP($B31,'CAM est 2017'!$A$6:$P$13,5,FALSE)</f>
        <v>435.93</v>
      </c>
      <c r="L31" s="98">
        <f>VLOOKUP($B31,'CAM est 2017'!$A$6:$P$13,5,FALSE)</f>
        <v>435.93</v>
      </c>
      <c r="M31" s="98">
        <f>VLOOKUP($B31,'CAM est 2017'!$A$6:$P$13,5,FALSE)</f>
        <v>435.93</v>
      </c>
      <c r="N31" s="98">
        <f>VLOOKUP($B31,'CAM est 2017'!$A$6:$P$13,5,FALSE)</f>
        <v>435.93</v>
      </c>
      <c r="O31" s="98">
        <f>VLOOKUP($B31,'CAM est 2017'!$A$6:$P$13,5,FALSE)</f>
        <v>435.93</v>
      </c>
      <c r="P31" s="98">
        <f t="shared" si="3"/>
        <v>5231.16</v>
      </c>
      <c r="Q31" s="98">
        <f t="shared" si="1"/>
        <v>-7298.84</v>
      </c>
      <c r="R31" s="153">
        <f t="shared" si="2"/>
        <v>-0.58250917797286517</v>
      </c>
    </row>
    <row r="32" spans="1:18" outlineLevel="1" x14ac:dyDescent="0.25">
      <c r="A32" s="7"/>
      <c r="B32" s="31" t="s">
        <v>496</v>
      </c>
      <c r="C32" s="98">
        <v>25691</v>
      </c>
      <c r="D32" s="98">
        <f>VLOOKUP($B32,'CAM est 2017'!$A$6:$P$13,5,FALSE)</f>
        <v>816.1</v>
      </c>
      <c r="E32" s="98">
        <f>VLOOKUP($B32,'CAM est 2017'!$A$6:$P$13,5,FALSE)</f>
        <v>816.1</v>
      </c>
      <c r="F32" s="98">
        <f>VLOOKUP($B32,'CAM est 2017'!$A$6:$P$13,5,FALSE)</f>
        <v>816.1</v>
      </c>
      <c r="G32" s="98">
        <f>VLOOKUP($B32,'CAM est 2017'!$A$6:$P$13,5,FALSE)</f>
        <v>816.1</v>
      </c>
      <c r="H32" s="98">
        <f>VLOOKUP($B32,'CAM est 2017'!$A$6:$P$13,5,FALSE)</f>
        <v>816.1</v>
      </c>
      <c r="I32" s="98">
        <f>VLOOKUP($B32,'CAM est 2017'!$A$6:$P$13,5,FALSE)</f>
        <v>816.1</v>
      </c>
      <c r="J32" s="98">
        <f>VLOOKUP($B32,'CAM est 2017'!$A$6:$P$13,5,FALSE)</f>
        <v>816.1</v>
      </c>
      <c r="K32" s="98">
        <f>VLOOKUP($B32,'CAM est 2017'!$A$6:$P$13,5,FALSE)</f>
        <v>816.1</v>
      </c>
      <c r="L32" s="98">
        <f>VLOOKUP($B32,'CAM est 2017'!$A$6:$P$13,5,FALSE)</f>
        <v>816.1</v>
      </c>
      <c r="M32" s="98">
        <f>VLOOKUP($B32,'CAM est 2017'!$A$6:$P$13,5,FALSE)</f>
        <v>816.1</v>
      </c>
      <c r="N32" s="98">
        <f>VLOOKUP($B32,'CAM est 2017'!$A$6:$P$13,5,FALSE)</f>
        <v>816.1</v>
      </c>
      <c r="O32" s="98">
        <f>VLOOKUP($B32,'CAM est 2017'!$A$6:$P$13,5,FALSE)</f>
        <v>816.1</v>
      </c>
      <c r="P32" s="98">
        <f t="shared" si="3"/>
        <v>9793.2000000000025</v>
      </c>
      <c r="Q32" s="98">
        <f t="shared" si="1"/>
        <v>-15897.799999999997</v>
      </c>
      <c r="R32" s="153">
        <f t="shared" si="2"/>
        <v>-0.61880814292943043</v>
      </c>
    </row>
    <row r="33" spans="1:18" outlineLevel="1" x14ac:dyDescent="0.25">
      <c r="A33" s="7"/>
      <c r="B33" s="31" t="s">
        <v>497</v>
      </c>
      <c r="C33" s="98">
        <v>7090</v>
      </c>
      <c r="D33" s="98">
        <f>VLOOKUP($B33,'CAM est 2017'!$A$6:$P$13,5,FALSE)</f>
        <v>464.4</v>
      </c>
      <c r="E33" s="98">
        <f>VLOOKUP($B33,'CAM est 2017'!$A$6:$P$13,5,FALSE)</f>
        <v>464.4</v>
      </c>
      <c r="F33" s="98">
        <f>VLOOKUP($B33,'CAM est 2017'!$A$6:$P$13,5,FALSE)</f>
        <v>464.4</v>
      </c>
      <c r="G33" s="98">
        <f>VLOOKUP($B33,'CAM est 2017'!$A$6:$P$13,5,FALSE)</f>
        <v>464.4</v>
      </c>
      <c r="H33" s="98">
        <f>VLOOKUP($B33,'CAM est 2017'!$A$6:$P$13,5,FALSE)</f>
        <v>464.4</v>
      </c>
      <c r="I33" s="98">
        <f>VLOOKUP($B33,'CAM est 2017'!$A$6:$P$13,5,FALSE)</f>
        <v>464.4</v>
      </c>
      <c r="J33" s="98">
        <f>VLOOKUP($B33,'CAM est 2017'!$A$6:$P$13,5,FALSE)</f>
        <v>464.4</v>
      </c>
      <c r="K33" s="98">
        <f>VLOOKUP($B33,'CAM est 2017'!$A$6:$P$13,5,FALSE)</f>
        <v>464.4</v>
      </c>
      <c r="L33" s="98">
        <f>VLOOKUP($B33,'CAM est 2017'!$A$6:$P$13,5,FALSE)</f>
        <v>464.4</v>
      </c>
      <c r="M33" s="98">
        <f>VLOOKUP($B33,'CAM est 2017'!$A$6:$P$13,5,FALSE)</f>
        <v>464.4</v>
      </c>
      <c r="N33" s="98">
        <f>VLOOKUP($B33,'CAM est 2017'!$A$6:$P$13,5,FALSE)</f>
        <v>464.4</v>
      </c>
      <c r="O33" s="98">
        <f>VLOOKUP($B33,'CAM est 2017'!$A$6:$P$13,5,FALSE)</f>
        <v>464.4</v>
      </c>
      <c r="P33" s="98">
        <f t="shared" si="3"/>
        <v>5572.7999999999993</v>
      </c>
      <c r="Q33" s="98">
        <f t="shared" si="1"/>
        <v>-1517.2000000000007</v>
      </c>
      <c r="R33" s="153">
        <f t="shared" si="2"/>
        <v>-0.21399153737658685</v>
      </c>
    </row>
    <row r="34" spans="1:18" x14ac:dyDescent="0.25">
      <c r="A34" s="1" t="s">
        <v>17</v>
      </c>
      <c r="B34" s="5" t="s">
        <v>18</v>
      </c>
      <c r="C34" s="104">
        <f>SUM(C35:C36)</f>
        <v>3743</v>
      </c>
      <c r="D34" s="104">
        <f>SUM(D35:D36)</f>
        <v>310.24</v>
      </c>
      <c r="E34" s="104">
        <f t="shared" ref="E34:P34" si="4">SUM(E35:E36)</f>
        <v>310.24</v>
      </c>
      <c r="F34" s="104">
        <f t="shared" si="4"/>
        <v>310.24</v>
      </c>
      <c r="G34" s="104">
        <f t="shared" si="4"/>
        <v>310.24</v>
      </c>
      <c r="H34" s="104">
        <f t="shared" si="4"/>
        <v>310.24</v>
      </c>
      <c r="I34" s="104">
        <f t="shared" si="4"/>
        <v>310.24</v>
      </c>
      <c r="J34" s="104">
        <f t="shared" si="4"/>
        <v>310.24</v>
      </c>
      <c r="K34" s="104">
        <f t="shared" si="4"/>
        <v>310.24</v>
      </c>
      <c r="L34" s="104">
        <f t="shared" si="4"/>
        <v>310.24</v>
      </c>
      <c r="M34" s="104">
        <f t="shared" si="4"/>
        <v>310.24</v>
      </c>
      <c r="N34" s="104">
        <f t="shared" si="4"/>
        <v>310.24</v>
      </c>
      <c r="O34" s="104">
        <f t="shared" si="4"/>
        <v>310.24</v>
      </c>
      <c r="P34" s="104">
        <f t="shared" si="4"/>
        <v>3722.88</v>
      </c>
      <c r="Q34" s="104">
        <f t="shared" si="1"/>
        <v>-20.119999999999891</v>
      </c>
      <c r="R34" s="153">
        <f t="shared" si="2"/>
        <v>-5.3753673523911014E-3</v>
      </c>
    </row>
    <row r="35" spans="1:18" outlineLevel="1" x14ac:dyDescent="0.25">
      <c r="A35" s="166"/>
      <c r="B35" s="54" t="s">
        <v>495</v>
      </c>
      <c r="C35" s="98">
        <v>2221</v>
      </c>
      <c r="D35" s="98">
        <f>VLOOKUP($B$35,'Ins 2016'!$A$6:$P$12,5,FALSE)</f>
        <v>207.41</v>
      </c>
      <c r="E35" s="98">
        <f>VLOOKUP($B$35,'Ins 2016'!$A$6:$P$12,5,FALSE)</f>
        <v>207.41</v>
      </c>
      <c r="F35" s="98">
        <f>VLOOKUP($B$35,'Ins 2016'!$A$6:$P$12,5,FALSE)</f>
        <v>207.41</v>
      </c>
      <c r="G35" s="98">
        <f>VLOOKUP($B$35,'Ins 2016'!$A$6:$P$12,5,FALSE)</f>
        <v>207.41</v>
      </c>
      <c r="H35" s="98">
        <f>VLOOKUP($B$35,'Ins 2016'!$A$6:$P$12,5,FALSE)</f>
        <v>207.41</v>
      </c>
      <c r="I35" s="98">
        <f>VLOOKUP($B$35,'Ins 2016'!$A$6:$P$12,5,FALSE)</f>
        <v>207.41</v>
      </c>
      <c r="J35" s="98">
        <f>VLOOKUP($B$35,'Ins 2016'!$A$6:$P$12,5,FALSE)</f>
        <v>207.41</v>
      </c>
      <c r="K35" s="98">
        <f>VLOOKUP($B$35,'Ins 2016'!$A$6:$P$12,5,FALSE)</f>
        <v>207.41</v>
      </c>
      <c r="L35" s="98">
        <f>VLOOKUP($B$35,'Ins 2016'!$A$6:$P$12,5,FALSE)</f>
        <v>207.41</v>
      </c>
      <c r="M35" s="98">
        <f>VLOOKUP($B$35,'Ins 2016'!$A$6:$P$12,5,FALSE)</f>
        <v>207.41</v>
      </c>
      <c r="N35" s="98">
        <f>VLOOKUP($B$35,'Ins 2016'!$A$6:$P$12,5,FALSE)</f>
        <v>207.41</v>
      </c>
      <c r="O35" s="98">
        <f>VLOOKUP($B$35,'Ins 2016'!$A$6:$P$12,5,FALSE)</f>
        <v>207.41</v>
      </c>
      <c r="P35" s="98">
        <f t="shared" si="3"/>
        <v>2488.92</v>
      </c>
      <c r="Q35" s="98">
        <f t="shared" si="1"/>
        <v>267.92000000000007</v>
      </c>
      <c r="R35" s="153">
        <f t="shared" si="2"/>
        <v>0.1206303466906799</v>
      </c>
    </row>
    <row r="36" spans="1:18" outlineLevel="1" x14ac:dyDescent="0.25">
      <c r="A36" s="166"/>
      <c r="B36" s="54" t="s">
        <v>496</v>
      </c>
      <c r="C36" s="98">
        <v>1522</v>
      </c>
      <c r="D36" s="98">
        <f>VLOOKUP($B$36,'Ins 2016'!$A$6:$P$12,5,FALSE)</f>
        <v>102.83</v>
      </c>
      <c r="E36" s="98">
        <f>VLOOKUP($B$36,'Ins 2016'!$A$6:$P$12,5,FALSE)</f>
        <v>102.83</v>
      </c>
      <c r="F36" s="98">
        <f>VLOOKUP($B$36,'Ins 2016'!$A$6:$P$12,5,FALSE)</f>
        <v>102.83</v>
      </c>
      <c r="G36" s="98">
        <f>VLOOKUP($B$36,'Ins 2016'!$A$6:$P$12,5,FALSE)</f>
        <v>102.83</v>
      </c>
      <c r="H36" s="98">
        <f>VLOOKUP($B$36,'Ins 2016'!$A$6:$P$12,5,FALSE)</f>
        <v>102.83</v>
      </c>
      <c r="I36" s="98">
        <f>VLOOKUP($B$36,'Ins 2016'!$A$6:$P$12,5,FALSE)</f>
        <v>102.83</v>
      </c>
      <c r="J36" s="98">
        <f>VLOOKUP($B$36,'Ins 2016'!$A$6:$P$12,5,FALSE)</f>
        <v>102.83</v>
      </c>
      <c r="K36" s="98">
        <f>VLOOKUP($B$36,'Ins 2016'!$A$6:$P$12,5,FALSE)</f>
        <v>102.83</v>
      </c>
      <c r="L36" s="98">
        <f>VLOOKUP($B$36,'Ins 2016'!$A$6:$P$12,5,FALSE)</f>
        <v>102.83</v>
      </c>
      <c r="M36" s="98">
        <f>VLOOKUP($B$36,'Ins 2016'!$A$6:$P$12,5,FALSE)</f>
        <v>102.83</v>
      </c>
      <c r="N36" s="98">
        <f>VLOOKUP($B$36,'Ins 2016'!$A$6:$P$12,5,FALSE)</f>
        <v>102.83</v>
      </c>
      <c r="O36" s="98">
        <f>VLOOKUP($B$36,'Ins 2016'!$A$6:$P$12,5,FALSE)</f>
        <v>102.83</v>
      </c>
      <c r="P36" s="98">
        <f t="shared" si="3"/>
        <v>1233.96</v>
      </c>
      <c r="Q36" s="98">
        <f t="shared" si="1"/>
        <v>-288.03999999999996</v>
      </c>
      <c r="R36" s="153">
        <f t="shared" si="2"/>
        <v>-0.18925098554533507</v>
      </c>
    </row>
    <row r="37" spans="1:18" x14ac:dyDescent="0.25">
      <c r="A37" s="1" t="s">
        <v>19</v>
      </c>
      <c r="B37" s="5" t="s">
        <v>20</v>
      </c>
      <c r="C37" s="104">
        <f>SUM(C38:C45)</f>
        <v>165334</v>
      </c>
      <c r="D37" s="104">
        <f>ROUNDDOWN(SUM(D38:D45),0)</f>
        <v>33269</v>
      </c>
      <c r="E37" s="104">
        <f>ROUNDDOWN(SUM(E38:E45),0)</f>
        <v>3407</v>
      </c>
      <c r="F37" s="104">
        <f>ROUNDDOWN(SUM(F38:F45),0)</f>
        <v>3407</v>
      </c>
      <c r="G37" s="104">
        <f>ROUNDDOWN(SUM(G38:G45),0)</f>
        <v>33269</v>
      </c>
      <c r="H37" s="104">
        <f>ROUNDDOWN(SUM(H38:H45),0)</f>
        <v>3407</v>
      </c>
      <c r="I37" s="104">
        <f>ROUNDDOWN(SUM(I38:I45),0)</f>
        <v>3407</v>
      </c>
      <c r="J37" s="104">
        <f>ROUNDDOWN(SUM(J38:J45),0)</f>
        <v>33269</v>
      </c>
      <c r="K37" s="104">
        <f>ROUNDDOWN(SUM(K38:K45),0)</f>
        <v>3407</v>
      </c>
      <c r="L37" s="104">
        <f>ROUNDDOWN(SUM(L38:L45),0)</f>
        <v>3407</v>
      </c>
      <c r="M37" s="104">
        <f>ROUNDDOWN(SUM(M38:M45),0)</f>
        <v>33269</v>
      </c>
      <c r="N37" s="104">
        <f>ROUNDDOWN(SUM(N38:N45),0)</f>
        <v>3407</v>
      </c>
      <c r="O37" s="104">
        <f>ROUNDDOWN(SUM(O38:O45),0)</f>
        <v>3407</v>
      </c>
      <c r="P37" s="104">
        <f>ROUND(SUM(P38:P45),0)</f>
        <v>160338</v>
      </c>
      <c r="Q37" s="104">
        <f t="shared" si="1"/>
        <v>-4996</v>
      </c>
      <c r="R37" s="153">
        <f t="shared" si="2"/>
        <v>-3.0217620090241572E-2</v>
      </c>
    </row>
    <row r="38" spans="1:18" outlineLevel="1" x14ac:dyDescent="0.25">
      <c r="A38" s="1"/>
      <c r="B38" s="31" t="s">
        <v>490</v>
      </c>
      <c r="C38" s="98">
        <v>95294</v>
      </c>
      <c r="D38" s="98">
        <f>VLOOKUP($B38,'RETaxes 2017'!$A$6:$Q$13,5,FALSE)</f>
        <v>24177.182355000004</v>
      </c>
      <c r="E38" s="98">
        <f>VLOOKUP($B38,'RETaxes 2017'!$A$6:$Q$13,6,FALSE)</f>
        <v>0</v>
      </c>
      <c r="F38" s="98">
        <f>VLOOKUP($B38,'RETaxes 2017'!$A$6:$Q$13,7,FALSE)</f>
        <v>0</v>
      </c>
      <c r="G38" s="98">
        <f>VLOOKUP($B38,'RETaxes 2017'!$A$6:$Q$13,8,FALSE)</f>
        <v>24177.182355000004</v>
      </c>
      <c r="H38" s="98">
        <f>VLOOKUP($B38,'RETaxes 2017'!$A$6:$Q$13,9,FALSE)</f>
        <v>0</v>
      </c>
      <c r="I38" s="98">
        <f>VLOOKUP($B38,'RETaxes 2017'!$A$6:$Q$13,10,FALSE)</f>
        <v>0</v>
      </c>
      <c r="J38" s="98">
        <f>VLOOKUP($B38,'RETaxes 2017'!$A$6:$Q$13,11,FALSE)</f>
        <v>24177.182355000004</v>
      </c>
      <c r="K38" s="98">
        <f>VLOOKUP($B38,'RETaxes 2017'!$A$6:$Q$13,12,FALSE)</f>
        <v>0</v>
      </c>
      <c r="L38" s="98">
        <f>VLOOKUP($B38,'RETaxes 2017'!$A$6:$Q$13,13,FALSE)</f>
        <v>0</v>
      </c>
      <c r="M38" s="98">
        <f>VLOOKUP($B38,'RETaxes 2017'!$A$6:$Q$13,14,FALSE)</f>
        <v>24177.182355000004</v>
      </c>
      <c r="N38" s="98">
        <f>VLOOKUP($B38,'RETaxes 2017'!$A$6:$Q$13,15,FALSE)</f>
        <v>0</v>
      </c>
      <c r="O38" s="98">
        <f>VLOOKUP($B38,'RETaxes 2017'!$A$6:$Q$13,16,FALSE)</f>
        <v>0</v>
      </c>
      <c r="P38" s="98">
        <f t="shared" ref="P38:P45" si="5">SUM(D38:O38)</f>
        <v>96708.729420000018</v>
      </c>
      <c r="Q38" s="98">
        <f t="shared" si="1"/>
        <v>1414.7294200000179</v>
      </c>
      <c r="R38" s="153">
        <f t="shared" si="2"/>
        <v>1.4845944340672212E-2</v>
      </c>
    </row>
    <row r="39" spans="1:18" outlineLevel="1" x14ac:dyDescent="0.25">
      <c r="A39" s="7"/>
      <c r="B39" s="31" t="s">
        <v>491</v>
      </c>
      <c r="C39" s="98">
        <v>9461</v>
      </c>
      <c r="D39" s="98">
        <f>VLOOKUP($B39,'RETaxes 2017'!$A$6:$Q$13,5,FALSE)</f>
        <v>2400.3080985000001</v>
      </c>
      <c r="E39" s="98">
        <f>VLOOKUP($B39,'RETaxes 2017'!$A$6:$Q$13,6,FALSE)</f>
        <v>0</v>
      </c>
      <c r="F39" s="98">
        <f>VLOOKUP($B39,'RETaxes 2017'!$A$6:$Q$13,7,FALSE)</f>
        <v>0</v>
      </c>
      <c r="G39" s="98">
        <f>VLOOKUP($B39,'RETaxes 2017'!$A$6:$Q$13,8,FALSE)</f>
        <v>2400.3080985000001</v>
      </c>
      <c r="H39" s="98">
        <f>VLOOKUP($B39,'RETaxes 2017'!$A$6:$Q$13,9,FALSE)</f>
        <v>0</v>
      </c>
      <c r="I39" s="98">
        <f>VLOOKUP($B39,'RETaxes 2017'!$A$6:$Q$13,10,FALSE)</f>
        <v>0</v>
      </c>
      <c r="J39" s="98">
        <f>VLOOKUP($B39,'RETaxes 2017'!$A$6:$Q$13,11,FALSE)</f>
        <v>2400.3080985000001</v>
      </c>
      <c r="K39" s="98">
        <f>VLOOKUP($B39,'RETaxes 2017'!$A$6:$Q$13,12,FALSE)</f>
        <v>0</v>
      </c>
      <c r="L39" s="98">
        <f>VLOOKUP($B39,'RETaxes 2017'!$A$6:$Q$13,13,FALSE)</f>
        <v>0</v>
      </c>
      <c r="M39" s="98">
        <f>VLOOKUP($B39,'RETaxes 2017'!$A$6:$Q$13,14,FALSE)</f>
        <v>2400.3080985000001</v>
      </c>
      <c r="N39" s="98">
        <f>VLOOKUP($B39,'RETaxes 2017'!$A$6:$Q$13,15,FALSE)</f>
        <v>0</v>
      </c>
      <c r="O39" s="98">
        <f>VLOOKUP($B39,'RETaxes 2017'!$A$6:$Q$13,16,FALSE)</f>
        <v>0</v>
      </c>
      <c r="P39" s="98">
        <f t="shared" si="5"/>
        <v>9601.2323940000006</v>
      </c>
      <c r="Q39" s="98">
        <f t="shared" si="1"/>
        <v>140.23239400000057</v>
      </c>
      <c r="R39" s="153">
        <f t="shared" si="2"/>
        <v>1.4822153472148882E-2</v>
      </c>
    </row>
    <row r="40" spans="1:18" outlineLevel="1" x14ac:dyDescent="0.25">
      <c r="A40" s="7"/>
      <c r="B40" s="31" t="s">
        <v>492</v>
      </c>
      <c r="C40" s="98">
        <v>5362</v>
      </c>
      <c r="D40" s="98">
        <f>VLOOKUP($B40,'RETaxes 2017'!$A$6:$Q$13,5,FALSE)</f>
        <v>1360.2814934999999</v>
      </c>
      <c r="E40" s="98">
        <f>VLOOKUP($B40,'RETaxes 2017'!$A$6:$Q$13,6,FALSE)</f>
        <v>0</v>
      </c>
      <c r="F40" s="98">
        <f>VLOOKUP($B40,'RETaxes 2017'!$A$6:$Q$13,7,FALSE)</f>
        <v>0</v>
      </c>
      <c r="G40" s="98">
        <f>VLOOKUP($B40,'RETaxes 2017'!$A$6:$Q$13,8,FALSE)</f>
        <v>1360.2814934999999</v>
      </c>
      <c r="H40" s="98">
        <f>VLOOKUP($B40,'RETaxes 2017'!$A$6:$Q$13,9,FALSE)</f>
        <v>0</v>
      </c>
      <c r="I40" s="98">
        <f>VLOOKUP($B40,'RETaxes 2017'!$A$6:$Q$13,10,FALSE)</f>
        <v>0</v>
      </c>
      <c r="J40" s="98">
        <f>VLOOKUP($B40,'RETaxes 2017'!$A$6:$Q$13,11,FALSE)</f>
        <v>1360.2814934999999</v>
      </c>
      <c r="K40" s="98">
        <f>VLOOKUP($B40,'RETaxes 2017'!$A$6:$Q$13,12,FALSE)</f>
        <v>0</v>
      </c>
      <c r="L40" s="98">
        <f>VLOOKUP($B40,'RETaxes 2017'!$A$6:$Q$13,13,FALSE)</f>
        <v>0</v>
      </c>
      <c r="M40" s="98">
        <f>VLOOKUP($B40,'RETaxes 2017'!$A$6:$Q$13,14,FALSE)</f>
        <v>1360.2814934999999</v>
      </c>
      <c r="N40" s="98">
        <f>VLOOKUP($B40,'RETaxes 2017'!$A$6:$Q$13,15,FALSE)</f>
        <v>0</v>
      </c>
      <c r="O40" s="98">
        <f>VLOOKUP($B40,'RETaxes 2017'!$A$6:$Q$13,16,FALSE)</f>
        <v>0</v>
      </c>
      <c r="P40" s="98">
        <f t="shared" si="5"/>
        <v>5441.1259739999996</v>
      </c>
      <c r="Q40" s="98">
        <f t="shared" si="1"/>
        <v>79.125973999999587</v>
      </c>
      <c r="R40" s="153">
        <f t="shared" si="2"/>
        <v>1.475680231256986E-2</v>
      </c>
    </row>
    <row r="41" spans="1:18" outlineLevel="1" x14ac:dyDescent="0.25">
      <c r="A41" s="7"/>
      <c r="B41" s="31" t="s">
        <v>493</v>
      </c>
      <c r="C41" s="98">
        <v>6743</v>
      </c>
      <c r="D41" s="98">
        <f>VLOOKUP($B41,'RETaxes 2017'!$A$6:$Q$13,5,FALSE)</f>
        <v>0</v>
      </c>
      <c r="E41" s="98">
        <f>VLOOKUP($B41,'RETaxes 2017'!$A$6:$Q$13,6,FALSE)</f>
        <v>0</v>
      </c>
      <c r="F41" s="98">
        <f>VLOOKUP($B41,'RETaxes 2017'!$A$6:$Q$13,7,FALSE)</f>
        <v>0</v>
      </c>
      <c r="G41" s="98">
        <f>VLOOKUP($B41,'RETaxes 2017'!$A$6:$Q$13,8,FALSE)</f>
        <v>0</v>
      </c>
      <c r="H41" s="98">
        <f>VLOOKUP($B41,'RETaxes 2017'!$A$6:$Q$13,9,FALSE)</f>
        <v>0</v>
      </c>
      <c r="I41" s="98">
        <f>VLOOKUP($B41,'RETaxes 2017'!$A$6:$Q$13,10,FALSE)</f>
        <v>0</v>
      </c>
      <c r="J41" s="98">
        <f>VLOOKUP($B41,'RETaxes 2017'!$A$6:$Q$13,11,FALSE)</f>
        <v>0</v>
      </c>
      <c r="K41" s="98">
        <f>VLOOKUP($B41,'RETaxes 2017'!$A$6:$Q$13,12,FALSE)</f>
        <v>0</v>
      </c>
      <c r="L41" s="98">
        <f>VLOOKUP($B41,'RETaxes 2017'!$A$6:$Q$13,13,FALSE)</f>
        <v>0</v>
      </c>
      <c r="M41" s="98">
        <f>VLOOKUP($B41,'RETaxes 2017'!$A$6:$Q$13,14,FALSE)</f>
        <v>0</v>
      </c>
      <c r="N41" s="98">
        <f>VLOOKUP($B41,'RETaxes 2017'!$A$6:$Q$13,15,FALSE)</f>
        <v>0</v>
      </c>
      <c r="O41" s="98">
        <f>VLOOKUP($B41,'RETaxes 2017'!$A$6:$Q$13,16,FALSE)</f>
        <v>0</v>
      </c>
      <c r="P41" s="98">
        <f t="shared" si="5"/>
        <v>0</v>
      </c>
      <c r="Q41" s="98">
        <f t="shared" si="1"/>
        <v>-6743</v>
      </c>
      <c r="R41" s="153">
        <f t="shared" si="2"/>
        <v>-1</v>
      </c>
    </row>
    <row r="42" spans="1:18" outlineLevel="1" x14ac:dyDescent="0.25">
      <c r="A42" s="7"/>
      <c r="B42" s="31" t="s">
        <v>494</v>
      </c>
      <c r="C42" s="98">
        <v>0</v>
      </c>
      <c r="D42" s="98">
        <f>VLOOKUP($B42,'RETaxes 2017'!$A$6:$Q$13,5,FALSE)</f>
        <v>0</v>
      </c>
      <c r="E42" s="98">
        <f>VLOOKUP($B42,'RETaxes 2017'!$A$6:$Q$13,6,FALSE)</f>
        <v>0</v>
      </c>
      <c r="F42" s="98">
        <f>VLOOKUP($B42,'RETaxes 2017'!$A$6:$Q$13,7,FALSE)</f>
        <v>0</v>
      </c>
      <c r="G42" s="98">
        <f>VLOOKUP($B42,'RETaxes 2017'!$A$6:$Q$13,8,FALSE)</f>
        <v>0</v>
      </c>
      <c r="H42" s="98">
        <f>VLOOKUP($B42,'RETaxes 2017'!$A$6:$Q$13,9,FALSE)</f>
        <v>0</v>
      </c>
      <c r="I42" s="98">
        <f>VLOOKUP($B42,'RETaxes 2017'!$A$6:$Q$13,10,FALSE)</f>
        <v>0</v>
      </c>
      <c r="J42" s="98">
        <f>VLOOKUP($B42,'RETaxes 2017'!$A$6:$Q$13,11,FALSE)</f>
        <v>0</v>
      </c>
      <c r="K42" s="98">
        <f>VLOOKUP($B42,'RETaxes 2017'!$A$6:$Q$13,12,FALSE)</f>
        <v>0</v>
      </c>
      <c r="L42" s="98">
        <f>VLOOKUP($B42,'RETaxes 2017'!$A$6:$Q$13,13,FALSE)</f>
        <v>0</v>
      </c>
      <c r="M42" s="98">
        <f>VLOOKUP($B42,'RETaxes 2017'!$A$6:$Q$13,14,FALSE)</f>
        <v>0</v>
      </c>
      <c r="N42" s="98">
        <f>VLOOKUP($B42,'RETaxes 2017'!$A$6:$Q$13,15,FALSE)</f>
        <v>0</v>
      </c>
      <c r="O42" s="98">
        <f>VLOOKUP($B42,'RETaxes 2017'!$A$6:$Q$13,16,FALSE)</f>
        <v>0</v>
      </c>
      <c r="P42" s="98">
        <f t="shared" si="5"/>
        <v>0</v>
      </c>
      <c r="Q42" s="98">
        <f t="shared" si="1"/>
        <v>0</v>
      </c>
      <c r="R42" s="153" t="str">
        <f t="shared" si="2"/>
        <v/>
      </c>
    </row>
    <row r="43" spans="1:18" outlineLevel="1" x14ac:dyDescent="0.25">
      <c r="A43" s="7"/>
      <c r="B43" s="31" t="s">
        <v>495</v>
      </c>
      <c r="C43" s="98">
        <v>13405</v>
      </c>
      <c r="D43" s="98">
        <f>VLOOKUP($B43,'RETaxes 2017'!$A$6:$Q$13,5,FALSE)</f>
        <v>1117.06</v>
      </c>
      <c r="E43" s="98">
        <f>VLOOKUP($B43,'RETaxes 2017'!$A$6:$Q$13,6,FALSE)</f>
        <v>1117.06</v>
      </c>
      <c r="F43" s="98">
        <f>VLOOKUP($B43,'RETaxes 2017'!$A$6:$Q$13,7,FALSE)</f>
        <v>1117.06</v>
      </c>
      <c r="G43" s="98">
        <f>VLOOKUP($B43,'RETaxes 2017'!$A$6:$Q$13,8,FALSE)</f>
        <v>1117.06</v>
      </c>
      <c r="H43" s="98">
        <f>VLOOKUP($B43,'RETaxes 2017'!$A$6:$Q$13,9,FALSE)</f>
        <v>1117.06</v>
      </c>
      <c r="I43" s="98">
        <f>VLOOKUP($B43,'RETaxes 2017'!$A$6:$Q$13,10,FALSE)</f>
        <v>1117.06</v>
      </c>
      <c r="J43" s="98">
        <f>VLOOKUP($B43,'RETaxes 2017'!$A$6:$Q$13,11,FALSE)</f>
        <v>1117.06</v>
      </c>
      <c r="K43" s="98">
        <f>VLOOKUP($B43,'RETaxes 2017'!$A$6:$Q$13,12,FALSE)</f>
        <v>1117.06</v>
      </c>
      <c r="L43" s="98">
        <f>VLOOKUP($B43,'RETaxes 2017'!$A$6:$Q$13,13,FALSE)</f>
        <v>1117.06</v>
      </c>
      <c r="M43" s="98">
        <f>VLOOKUP($B43,'RETaxes 2017'!$A$6:$Q$13,14,FALSE)</f>
        <v>1117.06</v>
      </c>
      <c r="N43" s="98">
        <f>VLOOKUP($B43,'RETaxes 2017'!$A$6:$Q$13,15,FALSE)</f>
        <v>1117.06</v>
      </c>
      <c r="O43" s="98">
        <f>VLOOKUP($B43,'RETaxes 2017'!$A$6:$Q$13,16,FALSE)</f>
        <v>1117.06</v>
      </c>
      <c r="P43" s="98">
        <f t="shared" si="5"/>
        <v>13404.719999999996</v>
      </c>
      <c r="Q43" s="98">
        <f t="shared" si="1"/>
        <v>-0.28000000000429281</v>
      </c>
      <c r="R43" s="153">
        <f t="shared" si="2"/>
        <v>-2.0887728459850267E-5</v>
      </c>
    </row>
    <row r="44" spans="1:18" outlineLevel="1" x14ac:dyDescent="0.25">
      <c r="A44" s="7"/>
      <c r="B44" s="31" t="s">
        <v>496</v>
      </c>
      <c r="C44" s="98">
        <v>27485</v>
      </c>
      <c r="D44" s="98">
        <f>VLOOKUP($B44,'RETaxes 2017'!$A$6:$Q$13,5,FALSE)</f>
        <v>2290.39</v>
      </c>
      <c r="E44" s="98">
        <f>VLOOKUP($B44,'RETaxes 2017'!$A$6:$Q$13,6,FALSE)</f>
        <v>2290.39</v>
      </c>
      <c r="F44" s="98">
        <f>VLOOKUP($B44,'RETaxes 2017'!$A$6:$Q$13,7,FALSE)</f>
        <v>2290.39</v>
      </c>
      <c r="G44" s="98">
        <f>VLOOKUP($B44,'RETaxes 2017'!$A$6:$Q$13,8,FALSE)</f>
        <v>2290.39</v>
      </c>
      <c r="H44" s="98">
        <f>VLOOKUP($B44,'RETaxes 2017'!$A$6:$Q$13,9,FALSE)</f>
        <v>2290.39</v>
      </c>
      <c r="I44" s="98">
        <f>VLOOKUP($B44,'RETaxes 2017'!$A$6:$Q$13,10,FALSE)</f>
        <v>2290.39</v>
      </c>
      <c r="J44" s="98">
        <f>VLOOKUP($B44,'RETaxes 2017'!$A$6:$Q$13,11,FALSE)</f>
        <v>2290.39</v>
      </c>
      <c r="K44" s="98">
        <f>VLOOKUP($B44,'RETaxes 2017'!$A$6:$Q$13,12,FALSE)</f>
        <v>2290.39</v>
      </c>
      <c r="L44" s="98">
        <f>VLOOKUP($B44,'RETaxes 2017'!$A$6:$Q$13,13,FALSE)</f>
        <v>2290.39</v>
      </c>
      <c r="M44" s="98">
        <f>VLOOKUP($B44,'RETaxes 2017'!$A$6:$Q$13,14,FALSE)</f>
        <v>2290.39</v>
      </c>
      <c r="N44" s="98">
        <f>VLOOKUP($B44,'RETaxes 2017'!$A$6:$Q$13,15,FALSE)</f>
        <v>2290.39</v>
      </c>
      <c r="O44" s="98">
        <f>VLOOKUP($B44,'RETaxes 2017'!$A$6:$Q$13,16,FALSE)</f>
        <v>2290.39</v>
      </c>
      <c r="P44" s="98">
        <f t="shared" si="5"/>
        <v>27484.679999999997</v>
      </c>
      <c r="Q44" s="98">
        <f t="shared" si="1"/>
        <v>-0.32000000000334694</v>
      </c>
      <c r="R44" s="153">
        <f t="shared" si="2"/>
        <v>-1.1642714207871455E-5</v>
      </c>
    </row>
    <row r="45" spans="1:18" outlineLevel="1" x14ac:dyDescent="0.25">
      <c r="A45" s="7"/>
      <c r="B45" s="31" t="s">
        <v>497</v>
      </c>
      <c r="C45" s="98">
        <v>7584</v>
      </c>
      <c r="D45" s="98">
        <f>VLOOKUP($B45,'RETaxes 2017'!$A$6:$Q$13,5,FALSE)</f>
        <v>1924.2783000000002</v>
      </c>
      <c r="E45" s="98">
        <f>VLOOKUP($B45,'RETaxes 2017'!$A$6:$Q$13,6,FALSE)</f>
        <v>0</v>
      </c>
      <c r="F45" s="98">
        <f>VLOOKUP($B45,'RETaxes 2017'!$A$6:$Q$13,7,FALSE)</f>
        <v>0</v>
      </c>
      <c r="G45" s="98">
        <f>VLOOKUP($B45,'RETaxes 2017'!$A$6:$Q$13,8,FALSE)</f>
        <v>1924.2783000000002</v>
      </c>
      <c r="H45" s="98">
        <f>VLOOKUP($B45,'RETaxes 2017'!$A$6:$Q$13,9,FALSE)</f>
        <v>0</v>
      </c>
      <c r="I45" s="98">
        <f>VLOOKUP($B45,'RETaxes 2017'!$A$6:$Q$13,10,FALSE)</f>
        <v>0</v>
      </c>
      <c r="J45" s="98">
        <f>VLOOKUP($B45,'RETaxes 2017'!$A$6:$Q$13,11,FALSE)</f>
        <v>1924.2783000000002</v>
      </c>
      <c r="K45" s="98">
        <f>VLOOKUP($B45,'RETaxes 2017'!$A$6:$Q$13,12,FALSE)</f>
        <v>0</v>
      </c>
      <c r="L45" s="98">
        <f>VLOOKUP($B45,'RETaxes 2017'!$A$6:$Q$13,13,FALSE)</f>
        <v>0</v>
      </c>
      <c r="M45" s="98">
        <f>VLOOKUP($B45,'RETaxes 2017'!$A$6:$Q$13,14,FALSE)</f>
        <v>1924.2783000000002</v>
      </c>
      <c r="N45" s="98">
        <f>VLOOKUP($B45,'RETaxes 2017'!$A$6:$Q$13,15,FALSE)</f>
        <v>0</v>
      </c>
      <c r="O45" s="98">
        <f>VLOOKUP($B45,'RETaxes 2017'!$A$6:$Q$13,16,FALSE)</f>
        <v>0</v>
      </c>
      <c r="P45" s="98">
        <f t="shared" si="5"/>
        <v>7697.1132000000007</v>
      </c>
      <c r="Q45" s="98">
        <f t="shared" si="1"/>
        <v>113.11320000000069</v>
      </c>
      <c r="R45" s="153">
        <f t="shared" si="2"/>
        <v>1.4914715189873508E-2</v>
      </c>
    </row>
    <row r="46" spans="1:18" x14ac:dyDescent="0.25">
      <c r="A46" s="1" t="s">
        <v>21</v>
      </c>
      <c r="B46" s="5" t="s">
        <v>22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>
        <v>0</v>
      </c>
      <c r="Q46" s="98" t="str">
        <f t="shared" si="1"/>
        <v/>
      </c>
      <c r="R46" s="153" t="str">
        <f t="shared" si="2"/>
        <v/>
      </c>
    </row>
    <row r="47" spans="1:18" x14ac:dyDescent="0.25">
      <c r="A47" s="1" t="s">
        <v>23</v>
      </c>
      <c r="B47" s="5" t="s">
        <v>24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>
        <v>0</v>
      </c>
      <c r="Q47" s="98" t="str">
        <f t="shared" si="1"/>
        <v/>
      </c>
      <c r="R47" s="153" t="str">
        <f t="shared" si="2"/>
        <v/>
      </c>
    </row>
    <row r="48" spans="1:18" x14ac:dyDescent="0.25">
      <c r="A48" s="1" t="s">
        <v>25</v>
      </c>
      <c r="B48" s="5" t="s">
        <v>26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>
        <v>0</v>
      </c>
      <c r="Q48" s="98" t="str">
        <f t="shared" si="1"/>
        <v/>
      </c>
      <c r="R48" s="153" t="str">
        <f t="shared" si="2"/>
        <v/>
      </c>
    </row>
    <row r="49" spans="1:18" ht="15.75" thickBot="1" x14ac:dyDescent="0.3">
      <c r="A49" s="1" t="s">
        <v>27</v>
      </c>
      <c r="B49" s="5" t="s">
        <v>28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>
        <v>0</v>
      </c>
      <c r="Q49" s="98" t="str">
        <f t="shared" si="1"/>
        <v/>
      </c>
      <c r="R49" s="153" t="str">
        <f t="shared" si="2"/>
        <v/>
      </c>
    </row>
    <row r="50" spans="1:18" s="91" customFormat="1" x14ac:dyDescent="0.25">
      <c r="A50" s="6" t="s">
        <v>29</v>
      </c>
      <c r="B50" s="3" t="s">
        <v>30</v>
      </c>
      <c r="C50" s="100">
        <f>SUM(C46:C49,C37,C34,C25,C24)</f>
        <v>323622</v>
      </c>
      <c r="D50" s="100">
        <f>SUM(D46:D49,D37,D34,D25,D24)</f>
        <v>40387.24</v>
      </c>
      <c r="E50" s="100">
        <f>SUM(E46:E49,E37,E34,E25,E24)</f>
        <v>10525.24</v>
      </c>
      <c r="F50" s="100">
        <f>SUM(F46:F49,F37,F34,F25,F24)</f>
        <v>10525.24</v>
      </c>
      <c r="G50" s="100">
        <f>SUM(G46:G49,G37,G34,G25,G24)</f>
        <v>40387.24</v>
      </c>
      <c r="H50" s="100">
        <f>SUM(H46:H49,H37,H34,H25,H24)</f>
        <v>10525.24</v>
      </c>
      <c r="I50" s="100">
        <f>SUM(I46:I49,I37,I34,I25,I24)</f>
        <v>10525.24</v>
      </c>
      <c r="J50" s="100">
        <f>SUM(J46:J49,J37,J34,J25,J24)</f>
        <v>40387.24</v>
      </c>
      <c r="K50" s="100">
        <f>SUM(K46:K49,K37,K34,K25,K24)</f>
        <v>10525.24</v>
      </c>
      <c r="L50" s="100">
        <f>SUM(L46:L49,L37,L34,L25,L24)</f>
        <v>10525.24</v>
      </c>
      <c r="M50" s="100">
        <f>SUM(M46:M49,M37,M34,M25,M24)</f>
        <v>40387.24</v>
      </c>
      <c r="N50" s="100">
        <f>SUM(N46:N49,N37,N34,N25,N24)</f>
        <v>10525.24</v>
      </c>
      <c r="O50" s="100">
        <f>SUM(O46:O49,O37,O34,O25,O24)</f>
        <v>10525.24</v>
      </c>
      <c r="P50" s="100">
        <f>SUM(P46:P49,P37,P34,P25,P24)</f>
        <v>245755.88</v>
      </c>
      <c r="Q50" s="100">
        <f t="shared" si="1"/>
        <v>-77866.12</v>
      </c>
      <c r="R50" s="153">
        <f t="shared" si="2"/>
        <v>-0.24060824047808863</v>
      </c>
    </row>
    <row r="51" spans="1:18" x14ac:dyDescent="0.25">
      <c r="A51" s="1"/>
      <c r="B51" s="5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 t="str">
        <f t="shared" si="1"/>
        <v/>
      </c>
      <c r="R51" s="153" t="str">
        <f t="shared" si="2"/>
        <v/>
      </c>
    </row>
    <row r="52" spans="1:18" x14ac:dyDescent="0.25">
      <c r="A52" s="1" t="s">
        <v>31</v>
      </c>
      <c r="B52" s="5" t="s">
        <v>32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 t="str">
        <f t="shared" si="1"/>
        <v/>
      </c>
      <c r="R52" s="153" t="str">
        <f t="shared" si="2"/>
        <v/>
      </c>
    </row>
    <row r="53" spans="1:18" x14ac:dyDescent="0.25">
      <c r="A53" s="1" t="s">
        <v>33</v>
      </c>
      <c r="B53" s="5" t="s">
        <v>34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f>SUM(D53:O53)</f>
        <v>0</v>
      </c>
      <c r="Q53" s="98">
        <f t="shared" si="1"/>
        <v>0</v>
      </c>
      <c r="R53" s="153" t="str">
        <f t="shared" si="2"/>
        <v/>
      </c>
    </row>
    <row r="54" spans="1:18" x14ac:dyDescent="0.25">
      <c r="A54" s="1" t="s">
        <v>35</v>
      </c>
      <c r="B54" s="5" t="s">
        <v>36</v>
      </c>
      <c r="C54" s="98">
        <v>0</v>
      </c>
      <c r="D54" s="98">
        <v>0</v>
      </c>
      <c r="E54" s="98">
        <v>0</v>
      </c>
      <c r="F54" s="98">
        <v>0</v>
      </c>
      <c r="G54" s="98">
        <v>0</v>
      </c>
      <c r="H54" s="98">
        <v>0</v>
      </c>
      <c r="I54" s="98">
        <v>0</v>
      </c>
      <c r="J54" s="98">
        <v>0</v>
      </c>
      <c r="K54" s="98">
        <v>0</v>
      </c>
      <c r="L54" s="98">
        <v>0</v>
      </c>
      <c r="M54" s="98">
        <v>0</v>
      </c>
      <c r="N54" s="98">
        <v>0</v>
      </c>
      <c r="O54" s="98">
        <v>0</v>
      </c>
      <c r="P54" s="98">
        <f>SUM(D54:O54)</f>
        <v>0</v>
      </c>
      <c r="Q54" s="98">
        <f t="shared" si="1"/>
        <v>0</v>
      </c>
      <c r="R54" s="153" t="str">
        <f t="shared" si="2"/>
        <v/>
      </c>
    </row>
    <row r="55" spans="1:18" x14ac:dyDescent="0.25">
      <c r="A55" s="1"/>
      <c r="B55" s="5" t="s">
        <v>373</v>
      </c>
      <c r="C55" s="98">
        <v>0</v>
      </c>
      <c r="D55" s="98">
        <v>0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f>SUM(D55:O55)</f>
        <v>0</v>
      </c>
      <c r="Q55" s="98">
        <f t="shared" si="1"/>
        <v>0</v>
      </c>
      <c r="R55" s="153" t="str">
        <f t="shared" si="2"/>
        <v/>
      </c>
    </row>
    <row r="56" spans="1:18" x14ac:dyDescent="0.25">
      <c r="A56" s="1"/>
      <c r="B56" s="5" t="s">
        <v>372</v>
      </c>
      <c r="C56" s="9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f t="shared" ref="Q56:Q126" si="6">IF(C56&lt;&gt;"",P56-C56,"")</f>
        <v>0</v>
      </c>
      <c r="R56" s="153" t="str">
        <f t="shared" ref="R56:R122" si="7">IF(C56&lt;&gt;0,Q56/C56,"")</f>
        <v/>
      </c>
    </row>
    <row r="57" spans="1:18" ht="15.75" thickBot="1" x14ac:dyDescent="0.3">
      <c r="A57" s="1"/>
      <c r="B57" s="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 t="str">
        <f t="shared" si="6"/>
        <v/>
      </c>
      <c r="R57" s="153" t="str">
        <f t="shared" si="7"/>
        <v/>
      </c>
    </row>
    <row r="58" spans="1:18" s="91" customFormat="1" x14ac:dyDescent="0.25">
      <c r="A58" s="6" t="s">
        <v>37</v>
      </c>
      <c r="B58" s="3" t="s">
        <v>38</v>
      </c>
      <c r="C58" s="100">
        <f t="shared" ref="C58:O58" si="8">SUM(C53:C57)</f>
        <v>0</v>
      </c>
      <c r="D58" s="100">
        <f t="shared" si="8"/>
        <v>0</v>
      </c>
      <c r="E58" s="100">
        <f t="shared" si="8"/>
        <v>0</v>
      </c>
      <c r="F58" s="100">
        <f t="shared" si="8"/>
        <v>0</v>
      </c>
      <c r="G58" s="100">
        <f t="shared" si="8"/>
        <v>0</v>
      </c>
      <c r="H58" s="100">
        <f t="shared" si="8"/>
        <v>0</v>
      </c>
      <c r="I58" s="100">
        <f t="shared" si="8"/>
        <v>0</v>
      </c>
      <c r="J58" s="100">
        <f t="shared" si="8"/>
        <v>0</v>
      </c>
      <c r="K58" s="100">
        <f t="shared" si="8"/>
        <v>0</v>
      </c>
      <c r="L58" s="100">
        <f t="shared" si="8"/>
        <v>0</v>
      </c>
      <c r="M58" s="100">
        <f t="shared" si="8"/>
        <v>0</v>
      </c>
      <c r="N58" s="100">
        <f t="shared" si="8"/>
        <v>0</v>
      </c>
      <c r="O58" s="100">
        <f t="shared" si="8"/>
        <v>0</v>
      </c>
      <c r="P58" s="100">
        <f>SUM(P53:P57)</f>
        <v>0</v>
      </c>
      <c r="Q58" s="100">
        <f t="shared" si="6"/>
        <v>0</v>
      </c>
      <c r="R58" s="153" t="str">
        <f t="shared" si="7"/>
        <v/>
      </c>
    </row>
    <row r="59" spans="1:18" ht="15.75" thickBot="1" x14ac:dyDescent="0.3">
      <c r="A59" s="1"/>
      <c r="B59" s="5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 t="str">
        <f t="shared" si="6"/>
        <v/>
      </c>
      <c r="R59" s="153" t="str">
        <f t="shared" si="7"/>
        <v/>
      </c>
    </row>
    <row r="60" spans="1:18" s="91" customFormat="1" x14ac:dyDescent="0.25">
      <c r="A60" s="6" t="s">
        <v>39</v>
      </c>
      <c r="B60" s="3" t="s">
        <v>40</v>
      </c>
      <c r="C60" s="100">
        <f>SUM(C58,C50,C21)</f>
        <v>959991</v>
      </c>
      <c r="D60" s="100">
        <f>SUM(D58,D50,D21)</f>
        <v>92833.599999999991</v>
      </c>
      <c r="E60" s="100">
        <f>SUM(E58,E50,E21)</f>
        <v>62971.599999999991</v>
      </c>
      <c r="F60" s="100">
        <f>SUM(F58,F50,F21)</f>
        <v>64391.669999999991</v>
      </c>
      <c r="G60" s="100">
        <f>SUM(G58,G50,G21)</f>
        <v>94253.669999999984</v>
      </c>
      <c r="H60" s="100">
        <f>SUM(H58,H50,H21)</f>
        <v>64391.669999999991</v>
      </c>
      <c r="I60" s="100">
        <f>SUM(I58,I50,I21)</f>
        <v>64391.669999999991</v>
      </c>
      <c r="J60" s="100">
        <f>SUM(J58,J50,J21)</f>
        <v>94253.669999999984</v>
      </c>
      <c r="K60" s="100">
        <f>SUM(K58,K50,K21)</f>
        <v>64391.669999999991</v>
      </c>
      <c r="L60" s="100">
        <f>SUM(L58,L50,L21)</f>
        <v>64391.669999999991</v>
      </c>
      <c r="M60" s="100">
        <f>SUM(M58,M50,M21)</f>
        <v>94253.669999999984</v>
      </c>
      <c r="N60" s="100">
        <f>SUM(N58,N50,N21)</f>
        <v>64391.669999999991</v>
      </c>
      <c r="O60" s="100">
        <f>SUM(O58,O50,O21)</f>
        <v>64391.669999999991</v>
      </c>
      <c r="P60" s="100">
        <f>SUM(P58,P50,P21)</f>
        <v>889312.9</v>
      </c>
      <c r="Q60" s="100">
        <f t="shared" si="6"/>
        <v>-70678.099999999977</v>
      </c>
      <c r="R60" s="153">
        <f t="shared" si="7"/>
        <v>-7.3623711055624458E-2</v>
      </c>
    </row>
    <row r="61" spans="1:18" x14ac:dyDescent="0.25">
      <c r="A61" s="1"/>
      <c r="B61" s="5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 t="str">
        <f t="shared" si="6"/>
        <v/>
      </c>
      <c r="R61" s="153" t="str">
        <f t="shared" si="7"/>
        <v/>
      </c>
    </row>
    <row r="62" spans="1:18" x14ac:dyDescent="0.25">
      <c r="A62" s="1" t="s">
        <v>41</v>
      </c>
      <c r="B62" s="5" t="s">
        <v>42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 t="str">
        <f t="shared" si="6"/>
        <v/>
      </c>
      <c r="R62" s="153" t="str">
        <f t="shared" si="7"/>
        <v/>
      </c>
    </row>
    <row r="63" spans="1:18" x14ac:dyDescent="0.25">
      <c r="A63" s="1" t="s">
        <v>43</v>
      </c>
      <c r="B63" s="5" t="s">
        <v>44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 t="str">
        <f t="shared" si="6"/>
        <v/>
      </c>
      <c r="R63" s="153" t="str">
        <f t="shared" si="7"/>
        <v/>
      </c>
    </row>
    <row r="64" spans="1:18" x14ac:dyDescent="0.25">
      <c r="A64" s="1" t="s">
        <v>500</v>
      </c>
      <c r="B64" s="5" t="s">
        <v>501</v>
      </c>
      <c r="C64" s="99">
        <v>2016</v>
      </c>
      <c r="D64" s="99">
        <v>166</v>
      </c>
      <c r="E64" s="99">
        <v>166</v>
      </c>
      <c r="F64" s="99">
        <v>166</v>
      </c>
      <c r="G64" s="99">
        <v>166</v>
      </c>
      <c r="H64" s="99">
        <v>166</v>
      </c>
      <c r="I64" s="99">
        <v>166</v>
      </c>
      <c r="J64" s="99">
        <v>166</v>
      </c>
      <c r="K64" s="99">
        <v>166</v>
      </c>
      <c r="L64" s="99">
        <v>166</v>
      </c>
      <c r="M64" s="99">
        <v>166</v>
      </c>
      <c r="N64" s="99">
        <v>166</v>
      </c>
      <c r="O64" s="99">
        <v>166</v>
      </c>
      <c r="P64" s="98">
        <f>SUM(D64:O64)</f>
        <v>1992</v>
      </c>
      <c r="Q64" s="98">
        <f t="shared" si="6"/>
        <v>-24</v>
      </c>
      <c r="R64" s="153">
        <f t="shared" si="7"/>
        <v>-1.1904761904761904E-2</v>
      </c>
    </row>
    <row r="65" spans="1:19" x14ac:dyDescent="0.25">
      <c r="A65" s="166" t="s">
        <v>194</v>
      </c>
      <c r="B65" s="5" t="s">
        <v>193</v>
      </c>
      <c r="C65" s="99">
        <v>11770</v>
      </c>
      <c r="D65" s="99">
        <v>0</v>
      </c>
      <c r="E65" s="99">
        <v>0</v>
      </c>
      <c r="F65" s="99">
        <v>0</v>
      </c>
      <c r="G65" s="99">
        <v>642</v>
      </c>
      <c r="H65" s="99">
        <v>642</v>
      </c>
      <c r="I65" s="99">
        <v>642</v>
      </c>
      <c r="J65" s="99">
        <v>642</v>
      </c>
      <c r="K65" s="99">
        <v>642</v>
      </c>
      <c r="L65" s="99">
        <v>642</v>
      </c>
      <c r="M65" s="99">
        <v>642</v>
      </c>
      <c r="N65" s="99">
        <v>642</v>
      </c>
      <c r="O65" s="99">
        <v>642</v>
      </c>
      <c r="P65" s="98">
        <f>SUM(D65:O65)</f>
        <v>5778</v>
      </c>
      <c r="Q65" s="98">
        <f t="shared" ref="Q65" si="9">IF(C65&lt;&gt;"",P65-C65,"")</f>
        <v>-5992</v>
      </c>
      <c r="R65" s="153">
        <f t="shared" ref="R65" si="10">IF(C65&lt;&gt;0,Q65/C65,"")</f>
        <v>-0.50909090909090904</v>
      </c>
    </row>
    <row r="66" spans="1:19" x14ac:dyDescent="0.25">
      <c r="A66" s="1" t="s">
        <v>45</v>
      </c>
      <c r="B66" s="5" t="s">
        <v>46</v>
      </c>
      <c r="C66" s="99">
        <v>19786</v>
      </c>
      <c r="D66" s="99">
        <v>1431.92</v>
      </c>
      <c r="E66" s="99">
        <v>1431.92</v>
      </c>
      <c r="F66" s="99">
        <v>1431.92</v>
      </c>
      <c r="G66" s="99">
        <v>1431.92</v>
      </c>
      <c r="H66" s="99">
        <v>1431.92</v>
      </c>
      <c r="I66" s="99">
        <v>1431.92</v>
      </c>
      <c r="J66" s="99">
        <v>1431.92</v>
      </c>
      <c r="K66" s="99">
        <v>1431.92</v>
      </c>
      <c r="L66" s="99">
        <v>1431.92</v>
      </c>
      <c r="M66" s="99">
        <v>1431.92</v>
      </c>
      <c r="N66" s="99">
        <v>1431.92</v>
      </c>
      <c r="O66" s="99">
        <v>1431.92</v>
      </c>
      <c r="P66" s="98">
        <f>SUM(D66:O66)</f>
        <v>17183.04</v>
      </c>
      <c r="Q66" s="98">
        <f t="shared" si="6"/>
        <v>-2602.9599999999991</v>
      </c>
      <c r="R66" s="153">
        <f t="shared" si="7"/>
        <v>-0.13155564540584247</v>
      </c>
    </row>
    <row r="67" spans="1:19" x14ac:dyDescent="0.25">
      <c r="A67" s="135" t="s">
        <v>476</v>
      </c>
      <c r="B67" s="5" t="s">
        <v>477</v>
      </c>
      <c r="C67" s="99">
        <v>0</v>
      </c>
      <c r="D67" s="99">
        <v>166</v>
      </c>
      <c r="E67" s="99">
        <v>166</v>
      </c>
      <c r="F67" s="99">
        <v>166</v>
      </c>
      <c r="G67" s="99">
        <v>166</v>
      </c>
      <c r="H67" s="99">
        <v>166</v>
      </c>
      <c r="I67" s="99">
        <v>166</v>
      </c>
      <c r="J67" s="99">
        <v>166</v>
      </c>
      <c r="K67" s="99">
        <v>166</v>
      </c>
      <c r="L67" s="99">
        <v>166</v>
      </c>
      <c r="M67" s="99">
        <v>166</v>
      </c>
      <c r="N67" s="99">
        <v>166</v>
      </c>
      <c r="O67" s="99">
        <v>166</v>
      </c>
      <c r="P67" s="98">
        <f>SUM(D67:O67)</f>
        <v>1992</v>
      </c>
      <c r="Q67" s="98">
        <f t="shared" si="6"/>
        <v>1992</v>
      </c>
      <c r="R67" s="153" t="str">
        <f t="shared" si="7"/>
        <v/>
      </c>
    </row>
    <row r="68" spans="1:19" x14ac:dyDescent="0.25">
      <c r="A68" s="166" t="s">
        <v>529</v>
      </c>
      <c r="B68" s="5" t="s">
        <v>530</v>
      </c>
      <c r="C68" s="99">
        <v>0</v>
      </c>
      <c r="D68" s="99">
        <v>0</v>
      </c>
      <c r="E68" s="99">
        <v>0</v>
      </c>
      <c r="F68" s="99">
        <v>0</v>
      </c>
      <c r="G68" s="99">
        <v>0</v>
      </c>
      <c r="H68" s="99">
        <v>0</v>
      </c>
      <c r="I68" s="99">
        <v>0</v>
      </c>
      <c r="J68" s="99">
        <v>0</v>
      </c>
      <c r="K68" s="99">
        <v>0</v>
      </c>
      <c r="L68" s="99">
        <v>0</v>
      </c>
      <c r="M68" s="99">
        <v>0</v>
      </c>
      <c r="N68" s="99">
        <v>0</v>
      </c>
      <c r="O68" s="99">
        <v>0</v>
      </c>
      <c r="P68" s="98">
        <f>SUM(D68:O68)</f>
        <v>0</v>
      </c>
      <c r="Q68" s="98">
        <f t="shared" ref="Q68" si="11">IF(C68&lt;&gt;"",P68-C68,"")</f>
        <v>0</v>
      </c>
      <c r="R68" s="153" t="str">
        <f t="shared" ref="R68" si="12">IF(C68&lt;&gt;0,Q68/C68,"")</f>
        <v/>
      </c>
    </row>
    <row r="69" spans="1:19" x14ac:dyDescent="0.25">
      <c r="A69" s="1" t="s">
        <v>47</v>
      </c>
      <c r="B69" s="5" t="s">
        <v>48</v>
      </c>
      <c r="C69" s="99">
        <v>3045</v>
      </c>
      <c r="D69" s="99">
        <v>1308.4000000000001</v>
      </c>
      <c r="E69" s="99">
        <v>1308.4000000000001</v>
      </c>
      <c r="F69" s="99">
        <v>1308.4000000000001</v>
      </c>
      <c r="G69" s="99">
        <v>1308.4000000000001</v>
      </c>
      <c r="H69" s="99">
        <v>1308.4000000000001</v>
      </c>
      <c r="I69" s="99">
        <v>1308.4000000000001</v>
      </c>
      <c r="J69" s="99">
        <v>1308.4000000000001</v>
      </c>
      <c r="K69" s="99">
        <v>1308.4000000000001</v>
      </c>
      <c r="L69" s="99">
        <v>1308.4000000000001</v>
      </c>
      <c r="M69" s="99">
        <v>1308.4000000000001</v>
      </c>
      <c r="N69" s="99">
        <v>1308.4000000000001</v>
      </c>
      <c r="O69" s="99">
        <v>1308.4000000000001</v>
      </c>
      <c r="P69" s="98">
        <f>SUM(D69:O69)</f>
        <v>15700.799999999997</v>
      </c>
      <c r="Q69" s="98">
        <f t="shared" si="6"/>
        <v>12655.799999999997</v>
      </c>
      <c r="R69" s="153">
        <f t="shared" si="7"/>
        <v>4.1562561576354673</v>
      </c>
    </row>
    <row r="70" spans="1:19" x14ac:dyDescent="0.25">
      <c r="A70" s="7" t="s">
        <v>219</v>
      </c>
      <c r="B70" s="5" t="s">
        <v>408</v>
      </c>
      <c r="C70" s="99"/>
      <c r="D70" s="99">
        <f t="shared" ref="D70:O72" si="13">$P70/12</f>
        <v>0</v>
      </c>
      <c r="E70" s="99">
        <f t="shared" si="13"/>
        <v>0</v>
      </c>
      <c r="F70" s="99">
        <f t="shared" si="13"/>
        <v>0</v>
      </c>
      <c r="G70" s="99">
        <f t="shared" si="13"/>
        <v>0</v>
      </c>
      <c r="H70" s="99">
        <f t="shared" si="13"/>
        <v>0</v>
      </c>
      <c r="I70" s="99">
        <f t="shared" si="13"/>
        <v>0</v>
      </c>
      <c r="J70" s="99">
        <f t="shared" si="13"/>
        <v>0</v>
      </c>
      <c r="K70" s="99">
        <f t="shared" si="13"/>
        <v>0</v>
      </c>
      <c r="L70" s="99">
        <f t="shared" si="13"/>
        <v>0</v>
      </c>
      <c r="M70" s="99">
        <f t="shared" si="13"/>
        <v>0</v>
      </c>
      <c r="N70" s="99">
        <f t="shared" si="13"/>
        <v>0</v>
      </c>
      <c r="O70" s="99">
        <f t="shared" si="13"/>
        <v>0</v>
      </c>
      <c r="P70" s="98">
        <f>C70*1.05</f>
        <v>0</v>
      </c>
      <c r="Q70" s="98" t="str">
        <f t="shared" si="6"/>
        <v/>
      </c>
      <c r="R70" s="153" t="str">
        <f t="shared" si="7"/>
        <v/>
      </c>
    </row>
    <row r="71" spans="1:19" x14ac:dyDescent="0.25">
      <c r="A71" s="93" t="s">
        <v>221</v>
      </c>
      <c r="B71" s="5" t="s">
        <v>442</v>
      </c>
      <c r="C71" s="99"/>
      <c r="D71" s="99">
        <v>0</v>
      </c>
      <c r="E71" s="99">
        <v>0</v>
      </c>
      <c r="F71" s="99">
        <v>0</v>
      </c>
      <c r="G71" s="99">
        <v>0</v>
      </c>
      <c r="H71" s="99">
        <v>0</v>
      </c>
      <c r="I71" s="99">
        <v>2000</v>
      </c>
      <c r="J71" s="99">
        <v>0</v>
      </c>
      <c r="K71" s="99">
        <v>0</v>
      </c>
      <c r="L71" s="99">
        <v>0</v>
      </c>
      <c r="M71" s="99">
        <v>150</v>
      </c>
      <c r="N71" s="99">
        <v>0</v>
      </c>
      <c r="O71" s="99">
        <v>0</v>
      </c>
      <c r="P71" s="98">
        <f t="shared" ref="P71:P79" si="14">C71*1.05</f>
        <v>0</v>
      </c>
      <c r="Q71" s="98" t="str">
        <f t="shared" si="6"/>
        <v/>
      </c>
      <c r="R71" s="153" t="str">
        <f t="shared" si="7"/>
        <v/>
      </c>
    </row>
    <row r="72" spans="1:19" x14ac:dyDescent="0.25">
      <c r="A72" s="1" t="s">
        <v>223</v>
      </c>
      <c r="B72" s="5" t="s">
        <v>368</v>
      </c>
      <c r="C72" s="99">
        <v>6089</v>
      </c>
      <c r="D72" s="99">
        <f t="shared" si="13"/>
        <v>532.78750000000002</v>
      </c>
      <c r="E72" s="99">
        <f t="shared" si="13"/>
        <v>532.78750000000002</v>
      </c>
      <c r="F72" s="99">
        <f t="shared" si="13"/>
        <v>532.78750000000002</v>
      </c>
      <c r="G72" s="99">
        <f t="shared" si="13"/>
        <v>532.78750000000002</v>
      </c>
      <c r="H72" s="99">
        <f t="shared" si="13"/>
        <v>532.78750000000002</v>
      </c>
      <c r="I72" s="99">
        <f t="shared" si="13"/>
        <v>532.78750000000002</v>
      </c>
      <c r="J72" s="99">
        <f t="shared" si="13"/>
        <v>532.78750000000002</v>
      </c>
      <c r="K72" s="99">
        <f t="shared" si="13"/>
        <v>532.78750000000002</v>
      </c>
      <c r="L72" s="99">
        <f t="shared" si="13"/>
        <v>532.78750000000002</v>
      </c>
      <c r="M72" s="99">
        <f t="shared" si="13"/>
        <v>532.78750000000002</v>
      </c>
      <c r="N72" s="99">
        <f t="shared" si="13"/>
        <v>532.78750000000002</v>
      </c>
      <c r="O72" s="99">
        <f t="shared" si="13"/>
        <v>532.78750000000002</v>
      </c>
      <c r="P72" s="98">
        <f t="shared" si="14"/>
        <v>6393.45</v>
      </c>
      <c r="Q72" s="98">
        <f t="shared" si="6"/>
        <v>304.44999999999982</v>
      </c>
      <c r="R72" s="153">
        <f t="shared" si="7"/>
        <v>4.9999999999999968E-2</v>
      </c>
    </row>
    <row r="73" spans="1:19" x14ac:dyDescent="0.25">
      <c r="A73" s="156" t="s">
        <v>487</v>
      </c>
      <c r="B73" s="5" t="s">
        <v>488</v>
      </c>
      <c r="C73" s="99"/>
      <c r="D73" s="99">
        <v>0</v>
      </c>
      <c r="E73" s="99">
        <v>0</v>
      </c>
      <c r="F73" s="99">
        <v>0</v>
      </c>
      <c r="G73" s="99">
        <v>0</v>
      </c>
      <c r="H73" s="99">
        <v>0</v>
      </c>
      <c r="I73" s="99">
        <v>0</v>
      </c>
      <c r="J73" s="99">
        <v>0</v>
      </c>
      <c r="K73" s="99">
        <v>0</v>
      </c>
      <c r="L73" s="99">
        <v>0</v>
      </c>
      <c r="M73" s="99">
        <v>0</v>
      </c>
      <c r="N73" s="99">
        <v>0</v>
      </c>
      <c r="O73" s="99">
        <v>0</v>
      </c>
      <c r="P73" s="98">
        <f>SUM(D73:O73)</f>
        <v>0</v>
      </c>
      <c r="Q73" s="98" t="str">
        <f t="shared" si="6"/>
        <v/>
      </c>
      <c r="R73" s="153" t="str">
        <f t="shared" si="7"/>
        <v/>
      </c>
    </row>
    <row r="74" spans="1:19" x14ac:dyDescent="0.25">
      <c r="A74" s="1" t="s">
        <v>49</v>
      </c>
      <c r="B74" s="5" t="s">
        <v>50</v>
      </c>
      <c r="C74" s="99">
        <v>10500</v>
      </c>
      <c r="D74" s="99">
        <v>3000</v>
      </c>
      <c r="E74" s="99">
        <v>0</v>
      </c>
      <c r="F74" s="99">
        <v>3000</v>
      </c>
      <c r="G74" s="99">
        <v>0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4000</v>
      </c>
      <c r="O74" s="99">
        <v>0</v>
      </c>
      <c r="P74" s="98">
        <f>SUM(D74:O74)</f>
        <v>10000</v>
      </c>
      <c r="Q74" s="98">
        <f t="shared" si="6"/>
        <v>-500</v>
      </c>
      <c r="R74" s="153">
        <f t="shared" si="7"/>
        <v>-4.7619047619047616E-2</v>
      </c>
    </row>
    <row r="75" spans="1:19" x14ac:dyDescent="0.25">
      <c r="A75" s="113" t="s">
        <v>226</v>
      </c>
      <c r="B75" s="5" t="s">
        <v>464</v>
      </c>
      <c r="C75" s="99"/>
      <c r="D75" s="99">
        <v>150</v>
      </c>
      <c r="E75" s="99">
        <v>150</v>
      </c>
      <c r="F75" s="99">
        <v>150</v>
      </c>
      <c r="G75" s="99">
        <v>150</v>
      </c>
      <c r="H75" s="99">
        <v>150</v>
      </c>
      <c r="I75" s="99">
        <v>150</v>
      </c>
      <c r="J75" s="99">
        <v>150</v>
      </c>
      <c r="K75" s="99">
        <v>150</v>
      </c>
      <c r="L75" s="99">
        <v>150</v>
      </c>
      <c r="M75" s="99">
        <v>150</v>
      </c>
      <c r="N75" s="99">
        <v>150</v>
      </c>
      <c r="O75" s="99">
        <v>150</v>
      </c>
      <c r="P75" s="98">
        <f>SUM(D75:O75)</f>
        <v>1800</v>
      </c>
      <c r="Q75" s="98" t="str">
        <f t="shared" si="6"/>
        <v/>
      </c>
      <c r="R75" s="153" t="str">
        <f t="shared" si="7"/>
        <v/>
      </c>
      <c r="S75" t="s">
        <v>531</v>
      </c>
    </row>
    <row r="76" spans="1:19" x14ac:dyDescent="0.25">
      <c r="A76" s="1" t="s">
        <v>192</v>
      </c>
      <c r="B76" s="5" t="s">
        <v>191</v>
      </c>
      <c r="C76" s="99"/>
      <c r="D76" s="99">
        <v>0</v>
      </c>
      <c r="E76" s="99">
        <v>0</v>
      </c>
      <c r="F76" s="99">
        <v>0</v>
      </c>
      <c r="G76" s="99">
        <v>0</v>
      </c>
      <c r="H76" s="99">
        <v>0</v>
      </c>
      <c r="I76" s="99">
        <v>0</v>
      </c>
      <c r="J76" s="99">
        <v>0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98">
        <f t="shared" si="14"/>
        <v>0</v>
      </c>
      <c r="Q76" s="98" t="str">
        <f t="shared" si="6"/>
        <v/>
      </c>
      <c r="R76" s="153" t="str">
        <f t="shared" si="7"/>
        <v/>
      </c>
    </row>
    <row r="77" spans="1:19" x14ac:dyDescent="0.25">
      <c r="A77" s="1" t="s">
        <v>51</v>
      </c>
      <c r="B77" s="5" t="s">
        <v>52</v>
      </c>
      <c r="C77" s="99">
        <v>300</v>
      </c>
      <c r="D77" s="99">
        <v>0</v>
      </c>
      <c r="E77" s="99">
        <v>300</v>
      </c>
      <c r="F77" s="99">
        <v>0</v>
      </c>
      <c r="G77" s="99">
        <v>0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98">
        <f>SUM(D77:O77)</f>
        <v>300</v>
      </c>
      <c r="Q77" s="98">
        <f t="shared" si="6"/>
        <v>0</v>
      </c>
      <c r="R77" s="153">
        <f t="shared" si="7"/>
        <v>0</v>
      </c>
      <c r="S77" s="136"/>
    </row>
    <row r="78" spans="1:19" x14ac:dyDescent="0.25">
      <c r="A78" s="1" t="s">
        <v>53</v>
      </c>
      <c r="B78" s="5" t="s">
        <v>54</v>
      </c>
      <c r="C78" s="99">
        <v>30000</v>
      </c>
      <c r="D78" s="99">
        <v>0</v>
      </c>
      <c r="E78" s="99">
        <v>0</v>
      </c>
      <c r="F78" s="99">
        <f>7510*1.05</f>
        <v>7885.5</v>
      </c>
      <c r="G78" s="99">
        <v>0</v>
      </c>
      <c r="H78" s="99">
        <v>0</v>
      </c>
      <c r="I78" s="99">
        <f>10232*1.05</f>
        <v>10743.6</v>
      </c>
      <c r="J78" s="99">
        <v>0</v>
      </c>
      <c r="K78" s="99">
        <f>7510*1.05</f>
        <v>7885.5</v>
      </c>
      <c r="L78" s="99">
        <v>0</v>
      </c>
      <c r="M78" s="99">
        <v>0</v>
      </c>
      <c r="N78" s="99">
        <v>0</v>
      </c>
      <c r="O78" s="99">
        <f>7510*1.05</f>
        <v>7885.5</v>
      </c>
      <c r="P78" s="98">
        <f>SUM(D78:O78)</f>
        <v>34400.1</v>
      </c>
      <c r="Q78" s="98">
        <f t="shared" si="6"/>
        <v>4400.0999999999985</v>
      </c>
      <c r="R78" s="153">
        <f t="shared" si="7"/>
        <v>0.14666999999999994</v>
      </c>
    </row>
    <row r="79" spans="1:19" x14ac:dyDescent="0.25">
      <c r="A79" s="1" t="s">
        <v>55</v>
      </c>
      <c r="B79" s="5" t="s">
        <v>56</v>
      </c>
      <c r="C79" s="99">
        <v>7851</v>
      </c>
      <c r="D79" s="99">
        <v>750</v>
      </c>
      <c r="E79" s="99">
        <v>750</v>
      </c>
      <c r="F79" s="99">
        <v>750</v>
      </c>
      <c r="G79" s="99">
        <v>750</v>
      </c>
      <c r="H79" s="99">
        <v>750</v>
      </c>
      <c r="I79" s="99">
        <v>750</v>
      </c>
      <c r="J79" s="99">
        <v>750</v>
      </c>
      <c r="K79" s="99">
        <v>750</v>
      </c>
      <c r="L79" s="99">
        <v>750</v>
      </c>
      <c r="M79" s="99">
        <v>750</v>
      </c>
      <c r="N79" s="99">
        <v>750</v>
      </c>
      <c r="O79" s="99">
        <v>750</v>
      </c>
      <c r="P79" s="98">
        <f>SUM(D79:O79)</f>
        <v>9000</v>
      </c>
      <c r="Q79" s="98">
        <f t="shared" si="6"/>
        <v>1149</v>
      </c>
      <c r="R79" s="153">
        <f t="shared" si="7"/>
        <v>0.14635078333970195</v>
      </c>
    </row>
    <row r="80" spans="1:19" x14ac:dyDescent="0.25">
      <c r="A80" s="1" t="s">
        <v>57</v>
      </c>
      <c r="B80" s="5" t="s">
        <v>58</v>
      </c>
      <c r="C80" s="99">
        <v>9526</v>
      </c>
      <c r="D80" s="99">
        <v>1900</v>
      </c>
      <c r="E80" s="99">
        <v>650</v>
      </c>
      <c r="F80" s="99">
        <v>650</v>
      </c>
      <c r="G80" s="99">
        <v>2650</v>
      </c>
      <c r="H80" s="99">
        <v>650</v>
      </c>
      <c r="I80" s="99">
        <v>650</v>
      </c>
      <c r="J80" s="99">
        <v>1900</v>
      </c>
      <c r="K80" s="99">
        <v>650</v>
      </c>
      <c r="L80" s="99">
        <v>650</v>
      </c>
      <c r="M80" s="99">
        <v>2650</v>
      </c>
      <c r="N80" s="99">
        <v>650</v>
      </c>
      <c r="O80" s="99">
        <v>650</v>
      </c>
      <c r="P80" s="98">
        <f>SUM(D80:O80)</f>
        <v>14300</v>
      </c>
      <c r="Q80" s="98">
        <f t="shared" si="6"/>
        <v>4774</v>
      </c>
      <c r="R80" s="153">
        <f t="shared" si="7"/>
        <v>0.50115473441108549</v>
      </c>
    </row>
    <row r="81" spans="1:25" ht="15.75" thickBot="1" x14ac:dyDescent="0.3">
      <c r="A81" s="1" t="s">
        <v>231</v>
      </c>
      <c r="B81" s="5" t="s">
        <v>367</v>
      </c>
      <c r="C81" s="99">
        <v>47999</v>
      </c>
      <c r="D81" s="99">
        <f>D60*5%</f>
        <v>4641.6799999999994</v>
      </c>
      <c r="E81" s="99">
        <f>E60*5%</f>
        <v>3148.58</v>
      </c>
      <c r="F81" s="99">
        <f>F60*5%</f>
        <v>3219.5834999999997</v>
      </c>
      <c r="G81" s="99">
        <f>G60*5%</f>
        <v>4712.6834999999992</v>
      </c>
      <c r="H81" s="99">
        <f>H60*5%</f>
        <v>3219.5834999999997</v>
      </c>
      <c r="I81" s="99">
        <f>I60*5%</f>
        <v>3219.5834999999997</v>
      </c>
      <c r="J81" s="99">
        <f>J60*5%</f>
        <v>4712.6834999999992</v>
      </c>
      <c r="K81" s="99">
        <f>K60*5%</f>
        <v>3219.5834999999997</v>
      </c>
      <c r="L81" s="99">
        <f>L60*5%</f>
        <v>3219.5834999999997</v>
      </c>
      <c r="M81" s="99">
        <f>M60*5%</f>
        <v>4712.6834999999992</v>
      </c>
      <c r="N81" s="99">
        <f>N60*5%</f>
        <v>3219.5834999999997</v>
      </c>
      <c r="O81" s="99">
        <f>O60*5%</f>
        <v>3219.5834999999997</v>
      </c>
      <c r="P81" s="98">
        <f>SUM(D81:O81)</f>
        <v>44465.394999999997</v>
      </c>
      <c r="Q81" s="98">
        <f t="shared" si="6"/>
        <v>-3533.6050000000032</v>
      </c>
      <c r="R81" s="153">
        <f t="shared" si="7"/>
        <v>-7.3618304548011479E-2</v>
      </c>
      <c r="Y81" s="137"/>
    </row>
    <row r="82" spans="1:25" x14ac:dyDescent="0.25">
      <c r="A82" s="1" t="s">
        <v>59</v>
      </c>
      <c r="B82" s="5" t="s">
        <v>60</v>
      </c>
      <c r="C82" s="100">
        <f>ROUND(SUM(C64:C81),0)</f>
        <v>148882</v>
      </c>
      <c r="D82" s="100">
        <f>ROUND(SUM(D64:D81),0)</f>
        <v>14047</v>
      </c>
      <c r="E82" s="100">
        <f>ROUND(SUM(E64:E81),0)</f>
        <v>8604</v>
      </c>
      <c r="F82" s="100">
        <f>ROUND(SUM(F64:F81),0)</f>
        <v>19260</v>
      </c>
      <c r="G82" s="100">
        <f>ROUND(SUM(G64:G81),0)</f>
        <v>12510</v>
      </c>
      <c r="H82" s="100">
        <f>ROUND(SUM(H64:H81),0)</f>
        <v>9017</v>
      </c>
      <c r="I82" s="100">
        <f>ROUND(SUM(I64:I81),0)</f>
        <v>21760</v>
      </c>
      <c r="J82" s="100">
        <f>ROUND(SUM(J64:J81),0)</f>
        <v>11760</v>
      </c>
      <c r="K82" s="100">
        <f>ROUND(SUM(K64:K81),0)</f>
        <v>16902</v>
      </c>
      <c r="L82" s="100">
        <f>ROUND(SUM(L64:L81),0)</f>
        <v>9017</v>
      </c>
      <c r="M82" s="100">
        <f>ROUND(SUM(M64:M81),0)</f>
        <v>12660</v>
      </c>
      <c r="N82" s="100">
        <f>ROUND(SUM(N64:N81),0)</f>
        <v>13017</v>
      </c>
      <c r="O82" s="100">
        <f>ROUND(SUM(O64:O81),0)</f>
        <v>16902</v>
      </c>
      <c r="P82" s="100">
        <f>ROUND(SUM(P64:P81),0)</f>
        <v>163305</v>
      </c>
      <c r="Q82" s="100">
        <f t="shared" si="6"/>
        <v>14423</v>
      </c>
      <c r="R82" s="153">
        <f t="shared" si="7"/>
        <v>9.6875377815988498E-2</v>
      </c>
    </row>
    <row r="83" spans="1:25" x14ac:dyDescent="0.25">
      <c r="A83" s="1"/>
      <c r="B83" s="5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5"/>
      <c r="Q83" s="105" t="str">
        <f t="shared" si="6"/>
        <v/>
      </c>
      <c r="R83" s="153" t="str">
        <f t="shared" si="7"/>
        <v/>
      </c>
    </row>
    <row r="84" spans="1:25" x14ac:dyDescent="0.25">
      <c r="A84" s="1" t="s">
        <v>61</v>
      </c>
      <c r="B84" s="5" t="s">
        <v>62</v>
      </c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 t="str">
        <f t="shared" si="6"/>
        <v/>
      </c>
      <c r="R84" s="153" t="str">
        <f t="shared" si="7"/>
        <v/>
      </c>
    </row>
    <row r="85" spans="1:25" x14ac:dyDescent="0.25">
      <c r="A85" s="1" t="s">
        <v>63</v>
      </c>
      <c r="B85" s="5" t="s">
        <v>64</v>
      </c>
      <c r="C85" s="99">
        <f>O$85/12</f>
        <v>0</v>
      </c>
      <c r="D85" s="99">
        <f>P$85/12</f>
        <v>0</v>
      </c>
      <c r="E85" s="99">
        <f t="shared" ref="E85:O88" si="15">$P85/12</f>
        <v>0</v>
      </c>
      <c r="F85" s="99">
        <f t="shared" si="15"/>
        <v>0</v>
      </c>
      <c r="G85" s="99">
        <f t="shared" si="15"/>
        <v>0</v>
      </c>
      <c r="H85" s="99">
        <f t="shared" si="15"/>
        <v>0</v>
      </c>
      <c r="I85" s="99">
        <f t="shared" si="15"/>
        <v>0</v>
      </c>
      <c r="J85" s="99">
        <f t="shared" si="15"/>
        <v>0</v>
      </c>
      <c r="K85" s="99">
        <f t="shared" si="15"/>
        <v>0</v>
      </c>
      <c r="L85" s="99">
        <f t="shared" si="15"/>
        <v>0</v>
      </c>
      <c r="M85" s="99">
        <f t="shared" si="15"/>
        <v>0</v>
      </c>
      <c r="N85" s="99">
        <f t="shared" si="15"/>
        <v>0</v>
      </c>
      <c r="O85" s="99">
        <f t="shared" si="15"/>
        <v>0</v>
      </c>
      <c r="P85" s="98">
        <v>0</v>
      </c>
      <c r="Q85" s="98">
        <f t="shared" si="6"/>
        <v>0</v>
      </c>
      <c r="R85" s="153" t="str">
        <f t="shared" si="7"/>
        <v/>
      </c>
    </row>
    <row r="86" spans="1:25" x14ac:dyDescent="0.25">
      <c r="A86" s="1" t="s">
        <v>65</v>
      </c>
      <c r="B86" s="5" t="s">
        <v>66</v>
      </c>
      <c r="C86" s="99">
        <f t="shared" ref="C86:D88" si="16">$P86/12</f>
        <v>0</v>
      </c>
      <c r="D86" s="99">
        <f t="shared" si="16"/>
        <v>0</v>
      </c>
      <c r="E86" s="99">
        <f t="shared" si="15"/>
        <v>0</v>
      </c>
      <c r="F86" s="99">
        <f t="shared" si="15"/>
        <v>0</v>
      </c>
      <c r="G86" s="99">
        <f t="shared" si="15"/>
        <v>0</v>
      </c>
      <c r="H86" s="99">
        <f t="shared" si="15"/>
        <v>0</v>
      </c>
      <c r="I86" s="99">
        <f t="shared" si="15"/>
        <v>0</v>
      </c>
      <c r="J86" s="99">
        <f t="shared" si="15"/>
        <v>0</v>
      </c>
      <c r="K86" s="99">
        <f t="shared" si="15"/>
        <v>0</v>
      </c>
      <c r="L86" s="99">
        <f t="shared" si="15"/>
        <v>0</v>
      </c>
      <c r="M86" s="99">
        <f t="shared" si="15"/>
        <v>0</v>
      </c>
      <c r="N86" s="99">
        <f t="shared" si="15"/>
        <v>0</v>
      </c>
      <c r="O86" s="99">
        <f t="shared" si="15"/>
        <v>0</v>
      </c>
      <c r="P86" s="98">
        <f>_xlfn.IFNA(VLOOKUP(A86,'Op Budget 2016'!$C$15:$Q$53,15,FALSE),)</f>
        <v>0</v>
      </c>
      <c r="Q86" s="98">
        <f t="shared" si="6"/>
        <v>0</v>
      </c>
      <c r="R86" s="153" t="str">
        <f t="shared" si="7"/>
        <v/>
      </c>
    </row>
    <row r="87" spans="1:25" x14ac:dyDescent="0.25">
      <c r="A87" s="1" t="s">
        <v>67</v>
      </c>
      <c r="B87" s="5" t="s">
        <v>68</v>
      </c>
      <c r="C87" s="99">
        <f t="shared" si="16"/>
        <v>0</v>
      </c>
      <c r="D87" s="99">
        <f t="shared" si="16"/>
        <v>0</v>
      </c>
      <c r="E87" s="99">
        <f t="shared" si="15"/>
        <v>0</v>
      </c>
      <c r="F87" s="99">
        <f t="shared" si="15"/>
        <v>0</v>
      </c>
      <c r="G87" s="99">
        <f t="shared" si="15"/>
        <v>0</v>
      </c>
      <c r="H87" s="99">
        <f t="shared" si="15"/>
        <v>0</v>
      </c>
      <c r="I87" s="99">
        <f t="shared" si="15"/>
        <v>0</v>
      </c>
      <c r="J87" s="99">
        <f t="shared" si="15"/>
        <v>0</v>
      </c>
      <c r="K87" s="99">
        <f t="shared" si="15"/>
        <v>0</v>
      </c>
      <c r="L87" s="99">
        <f t="shared" si="15"/>
        <v>0</v>
      </c>
      <c r="M87" s="99">
        <f t="shared" si="15"/>
        <v>0</v>
      </c>
      <c r="N87" s="99">
        <f t="shared" si="15"/>
        <v>0</v>
      </c>
      <c r="O87" s="99">
        <f t="shared" si="15"/>
        <v>0</v>
      </c>
      <c r="P87" s="98">
        <f>_xlfn.IFNA(VLOOKUP(A87,'Op Budget 2016'!$C$15:$Q$53,15,FALSE),)</f>
        <v>0</v>
      </c>
      <c r="Q87" s="98">
        <f t="shared" si="6"/>
        <v>0</v>
      </c>
      <c r="R87" s="153" t="str">
        <f t="shared" si="7"/>
        <v/>
      </c>
    </row>
    <row r="88" spans="1:25" x14ac:dyDescent="0.25">
      <c r="A88" s="1" t="s">
        <v>69</v>
      </c>
      <c r="B88" s="5" t="s">
        <v>70</v>
      </c>
      <c r="C88" s="99">
        <f t="shared" si="16"/>
        <v>0</v>
      </c>
      <c r="D88" s="99">
        <f t="shared" si="16"/>
        <v>0</v>
      </c>
      <c r="E88" s="99">
        <f t="shared" si="15"/>
        <v>0</v>
      </c>
      <c r="F88" s="99">
        <f t="shared" si="15"/>
        <v>0</v>
      </c>
      <c r="G88" s="99">
        <f t="shared" si="15"/>
        <v>0</v>
      </c>
      <c r="H88" s="99">
        <f t="shared" si="15"/>
        <v>0</v>
      </c>
      <c r="I88" s="99">
        <f t="shared" si="15"/>
        <v>0</v>
      </c>
      <c r="J88" s="99">
        <f t="shared" si="15"/>
        <v>0</v>
      </c>
      <c r="K88" s="99">
        <f t="shared" si="15"/>
        <v>0</v>
      </c>
      <c r="L88" s="99">
        <f t="shared" si="15"/>
        <v>0</v>
      </c>
      <c r="M88" s="99">
        <f t="shared" si="15"/>
        <v>0</v>
      </c>
      <c r="N88" s="99">
        <f t="shared" si="15"/>
        <v>0</v>
      </c>
      <c r="O88" s="99">
        <f t="shared" si="15"/>
        <v>0</v>
      </c>
      <c r="P88" s="98">
        <f>_xlfn.IFNA(VLOOKUP(A88,'Op Budget 2016'!$C$15:$Q$53,15,FALSE),)</f>
        <v>0</v>
      </c>
      <c r="Q88" s="98">
        <f t="shared" si="6"/>
        <v>0</v>
      </c>
      <c r="R88" s="153" t="str">
        <f t="shared" si="7"/>
        <v/>
      </c>
    </row>
    <row r="89" spans="1:25" x14ac:dyDescent="0.25">
      <c r="A89" s="1" t="s">
        <v>71</v>
      </c>
      <c r="B89" s="5" t="s">
        <v>72</v>
      </c>
      <c r="C89" s="99">
        <v>182964</v>
      </c>
      <c r="D89" s="99">
        <v>45816.15</v>
      </c>
      <c r="E89" s="99">
        <v>0</v>
      </c>
      <c r="F89" s="99">
        <v>0</v>
      </c>
      <c r="G89" s="99">
        <v>45816.15</v>
      </c>
      <c r="H89" s="99">
        <v>0</v>
      </c>
      <c r="I89" s="99">
        <v>0</v>
      </c>
      <c r="J89" s="99">
        <v>45816.15</v>
      </c>
      <c r="K89" s="99">
        <v>0</v>
      </c>
      <c r="L89" s="99">
        <v>0</v>
      </c>
      <c r="M89" s="99">
        <v>45816.15</v>
      </c>
      <c r="N89" s="99">
        <v>0</v>
      </c>
      <c r="O89" s="99">
        <v>0</v>
      </c>
      <c r="P89" s="98">
        <f>SUM(D89:O89)</f>
        <v>183264.6</v>
      </c>
      <c r="Q89" s="98">
        <f t="shared" si="6"/>
        <v>300.60000000000582</v>
      </c>
      <c r="R89" s="153">
        <f t="shared" si="7"/>
        <v>1.6429461533416729E-3</v>
      </c>
    </row>
    <row r="90" spans="1:25" x14ac:dyDescent="0.25">
      <c r="A90" s="1" t="s">
        <v>73</v>
      </c>
      <c r="B90" s="5" t="s">
        <v>74</v>
      </c>
      <c r="C90" s="99">
        <v>16960</v>
      </c>
      <c r="D90" s="99">
        <v>0</v>
      </c>
      <c r="E90" s="99">
        <v>0</v>
      </c>
      <c r="F90" s="99">
        <v>0</v>
      </c>
      <c r="G90" s="99">
        <v>0</v>
      </c>
      <c r="H90" s="99">
        <v>300</v>
      </c>
      <c r="I90" s="99">
        <v>12000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  <c r="O90" s="99">
        <v>0</v>
      </c>
      <c r="P90" s="98">
        <f>SUM(D90:O90)</f>
        <v>12300</v>
      </c>
      <c r="Q90" s="98">
        <f t="shared" si="6"/>
        <v>-4660</v>
      </c>
      <c r="R90" s="153">
        <f t="shared" si="7"/>
        <v>-0.27476415094339623</v>
      </c>
      <c r="S90" t="s">
        <v>479</v>
      </c>
    </row>
    <row r="91" spans="1:25" x14ac:dyDescent="0.25">
      <c r="A91" s="1" t="s">
        <v>75</v>
      </c>
      <c r="B91" s="5" t="s">
        <v>76</v>
      </c>
      <c r="C91" s="99">
        <v>0</v>
      </c>
      <c r="D91" s="99">
        <v>0</v>
      </c>
      <c r="E91" s="99">
        <v>0</v>
      </c>
      <c r="F91" s="99">
        <f>P91/2</f>
        <v>250</v>
      </c>
      <c r="G91" s="99">
        <v>0</v>
      </c>
      <c r="H91" s="99">
        <v>0</v>
      </c>
      <c r="I91" s="99">
        <v>0</v>
      </c>
      <c r="J91" s="99">
        <v>0</v>
      </c>
      <c r="K91" s="99">
        <v>0</v>
      </c>
      <c r="L91" s="99">
        <f>P91/2</f>
        <v>250</v>
      </c>
      <c r="M91" s="99">
        <v>0</v>
      </c>
      <c r="N91" s="99">
        <v>0</v>
      </c>
      <c r="O91" s="99">
        <v>0</v>
      </c>
      <c r="P91" s="98">
        <v>500</v>
      </c>
      <c r="Q91" s="98">
        <f t="shared" si="6"/>
        <v>500</v>
      </c>
      <c r="R91" s="153" t="str">
        <f t="shared" si="7"/>
        <v/>
      </c>
    </row>
    <row r="92" spans="1:25" x14ac:dyDescent="0.25">
      <c r="A92" s="1" t="s">
        <v>190</v>
      </c>
      <c r="B92" s="5" t="s">
        <v>189</v>
      </c>
      <c r="C92" s="99">
        <v>0</v>
      </c>
      <c r="D92" s="99">
        <f t="shared" ref="C92:O100" si="17">$P92/12</f>
        <v>0</v>
      </c>
      <c r="E92" s="99">
        <f t="shared" si="17"/>
        <v>0</v>
      </c>
      <c r="F92" s="99">
        <f t="shared" si="17"/>
        <v>0</v>
      </c>
      <c r="G92" s="99">
        <f t="shared" si="17"/>
        <v>0</v>
      </c>
      <c r="H92" s="99">
        <f t="shared" si="17"/>
        <v>0</v>
      </c>
      <c r="I92" s="99">
        <f t="shared" si="17"/>
        <v>0</v>
      </c>
      <c r="J92" s="99">
        <f t="shared" si="17"/>
        <v>0</v>
      </c>
      <c r="K92" s="99">
        <f t="shared" si="17"/>
        <v>0</v>
      </c>
      <c r="L92" s="99">
        <f t="shared" si="17"/>
        <v>0</v>
      </c>
      <c r="M92" s="99">
        <f t="shared" si="17"/>
        <v>0</v>
      </c>
      <c r="N92" s="99">
        <f t="shared" si="17"/>
        <v>0</v>
      </c>
      <c r="O92" s="99">
        <f t="shared" si="17"/>
        <v>0</v>
      </c>
      <c r="P92" s="98">
        <f>_xlfn.IFNA(VLOOKUP(A92,'Op Budget 2016'!$C$15:$Q$53,15,FALSE),)</f>
        <v>0</v>
      </c>
      <c r="Q92" s="98">
        <f t="shared" si="6"/>
        <v>0</v>
      </c>
      <c r="R92" s="153" t="str">
        <f t="shared" si="7"/>
        <v/>
      </c>
    </row>
    <row r="93" spans="1:25" x14ac:dyDescent="0.25">
      <c r="A93" s="1" t="s">
        <v>77</v>
      </c>
      <c r="B93" s="5" t="s">
        <v>78</v>
      </c>
      <c r="C93" s="99">
        <f t="shared" si="17"/>
        <v>0</v>
      </c>
      <c r="D93" s="99">
        <f t="shared" si="17"/>
        <v>0</v>
      </c>
      <c r="E93" s="99">
        <f t="shared" si="17"/>
        <v>0</v>
      </c>
      <c r="F93" s="99">
        <f t="shared" si="17"/>
        <v>0</v>
      </c>
      <c r="G93" s="99">
        <f t="shared" si="17"/>
        <v>0</v>
      </c>
      <c r="H93" s="99">
        <f t="shared" si="17"/>
        <v>0</v>
      </c>
      <c r="I93" s="99">
        <f t="shared" si="17"/>
        <v>0</v>
      </c>
      <c r="J93" s="99">
        <f t="shared" si="17"/>
        <v>0</v>
      </c>
      <c r="K93" s="99">
        <f t="shared" si="17"/>
        <v>0</v>
      </c>
      <c r="L93" s="99">
        <f t="shared" si="17"/>
        <v>0</v>
      </c>
      <c r="M93" s="99">
        <f t="shared" si="17"/>
        <v>0</v>
      </c>
      <c r="N93" s="99">
        <f t="shared" si="17"/>
        <v>0</v>
      </c>
      <c r="O93" s="99">
        <f t="shared" si="17"/>
        <v>0</v>
      </c>
      <c r="P93" s="98">
        <f>_xlfn.IFNA(VLOOKUP(A93,'Op Budget 2016'!$C$15:$Q$53,15,FALSE),)</f>
        <v>0</v>
      </c>
      <c r="Q93" s="98">
        <f t="shared" si="6"/>
        <v>0</v>
      </c>
      <c r="R93" s="153" t="str">
        <f t="shared" si="7"/>
        <v/>
      </c>
    </row>
    <row r="94" spans="1:25" x14ac:dyDescent="0.25">
      <c r="A94" s="93" t="s">
        <v>247</v>
      </c>
      <c r="B94" s="5" t="s">
        <v>443</v>
      </c>
      <c r="C94" s="99">
        <v>1644</v>
      </c>
      <c r="D94" s="99">
        <f t="shared" si="17"/>
        <v>236.5</v>
      </c>
      <c r="E94" s="99">
        <f t="shared" si="17"/>
        <v>236.5</v>
      </c>
      <c r="F94" s="99">
        <f t="shared" si="17"/>
        <v>236.5</v>
      </c>
      <c r="G94" s="99">
        <f t="shared" si="17"/>
        <v>236.5</v>
      </c>
      <c r="H94" s="99">
        <f t="shared" si="17"/>
        <v>236.5</v>
      </c>
      <c r="I94" s="99">
        <f t="shared" si="17"/>
        <v>236.5</v>
      </c>
      <c r="J94" s="99">
        <f t="shared" si="17"/>
        <v>236.5</v>
      </c>
      <c r="K94" s="99">
        <f t="shared" si="17"/>
        <v>236.5</v>
      </c>
      <c r="L94" s="99">
        <f t="shared" si="17"/>
        <v>236.5</v>
      </c>
      <c r="M94" s="99">
        <f t="shared" si="17"/>
        <v>236.5</v>
      </c>
      <c r="N94" s="99">
        <f t="shared" si="17"/>
        <v>236.5</v>
      </c>
      <c r="O94" s="99">
        <f t="shared" si="17"/>
        <v>236.5</v>
      </c>
      <c r="P94" s="98">
        <v>2838</v>
      </c>
      <c r="Q94" s="98">
        <f t="shared" si="6"/>
        <v>1194</v>
      </c>
      <c r="R94" s="153">
        <f t="shared" si="7"/>
        <v>0.72627737226277367</v>
      </c>
      <c r="S94" t="s">
        <v>486</v>
      </c>
    </row>
    <row r="95" spans="1:25" x14ac:dyDescent="0.25">
      <c r="A95" s="1" t="s">
        <v>79</v>
      </c>
      <c r="B95" s="5" t="s">
        <v>80</v>
      </c>
      <c r="C95" s="99">
        <v>0</v>
      </c>
      <c r="D95" s="99">
        <f t="shared" si="17"/>
        <v>11.666666666666666</v>
      </c>
      <c r="E95" s="99">
        <f t="shared" si="17"/>
        <v>11.666666666666666</v>
      </c>
      <c r="F95" s="99">
        <f t="shared" si="17"/>
        <v>11.666666666666666</v>
      </c>
      <c r="G95" s="99">
        <f t="shared" si="17"/>
        <v>11.666666666666666</v>
      </c>
      <c r="H95" s="99">
        <f t="shared" si="17"/>
        <v>11.666666666666666</v>
      </c>
      <c r="I95" s="99">
        <f t="shared" si="17"/>
        <v>11.666666666666666</v>
      </c>
      <c r="J95" s="99">
        <f t="shared" si="17"/>
        <v>11.666666666666666</v>
      </c>
      <c r="K95" s="99">
        <f t="shared" si="17"/>
        <v>11.666666666666666</v>
      </c>
      <c r="L95" s="99">
        <f t="shared" si="17"/>
        <v>11.666666666666666</v>
      </c>
      <c r="M95" s="99">
        <f t="shared" si="17"/>
        <v>11.666666666666666</v>
      </c>
      <c r="N95" s="99">
        <f t="shared" si="17"/>
        <v>11.666666666666666</v>
      </c>
      <c r="O95" s="99">
        <f t="shared" si="17"/>
        <v>11.666666666666666</v>
      </c>
      <c r="P95" s="98">
        <v>140</v>
      </c>
      <c r="Q95" s="98">
        <f t="shared" si="6"/>
        <v>140</v>
      </c>
      <c r="R95" s="153" t="str">
        <f t="shared" si="7"/>
        <v/>
      </c>
      <c r="S95" t="s">
        <v>486</v>
      </c>
    </row>
    <row r="96" spans="1:25" x14ac:dyDescent="0.25">
      <c r="A96" s="1" t="s">
        <v>81</v>
      </c>
      <c r="B96" s="5" t="s">
        <v>82</v>
      </c>
      <c r="C96" s="99">
        <v>0</v>
      </c>
      <c r="D96" s="99">
        <f t="shared" si="17"/>
        <v>0</v>
      </c>
      <c r="E96" s="99">
        <f t="shared" si="17"/>
        <v>0</v>
      </c>
      <c r="F96" s="99">
        <f t="shared" si="17"/>
        <v>0</v>
      </c>
      <c r="G96" s="99">
        <f t="shared" si="17"/>
        <v>0</v>
      </c>
      <c r="H96" s="99">
        <f t="shared" si="17"/>
        <v>0</v>
      </c>
      <c r="I96" s="99">
        <f t="shared" si="17"/>
        <v>0</v>
      </c>
      <c r="J96" s="99">
        <f t="shared" si="17"/>
        <v>0</v>
      </c>
      <c r="K96" s="99">
        <f t="shared" si="17"/>
        <v>0</v>
      </c>
      <c r="L96" s="99">
        <f t="shared" si="17"/>
        <v>0</v>
      </c>
      <c r="M96" s="99">
        <f t="shared" si="17"/>
        <v>0</v>
      </c>
      <c r="N96" s="99">
        <f t="shared" si="17"/>
        <v>0</v>
      </c>
      <c r="O96" s="99">
        <f t="shared" si="17"/>
        <v>0</v>
      </c>
      <c r="P96" s="98">
        <v>0</v>
      </c>
      <c r="Q96" s="98">
        <f t="shared" si="6"/>
        <v>0</v>
      </c>
      <c r="R96" s="153" t="str">
        <f t="shared" si="7"/>
        <v/>
      </c>
    </row>
    <row r="97" spans="1:24" x14ac:dyDescent="0.25">
      <c r="A97" s="1" t="s">
        <v>83</v>
      </c>
      <c r="B97" s="5" t="s">
        <v>84</v>
      </c>
      <c r="C97" s="99">
        <f t="shared" si="17"/>
        <v>0</v>
      </c>
      <c r="D97" s="99">
        <f t="shared" si="17"/>
        <v>0</v>
      </c>
      <c r="E97" s="99">
        <f t="shared" si="17"/>
        <v>0</v>
      </c>
      <c r="F97" s="99">
        <f t="shared" si="17"/>
        <v>0</v>
      </c>
      <c r="G97" s="99">
        <f t="shared" si="17"/>
        <v>0</v>
      </c>
      <c r="H97" s="99">
        <f t="shared" si="17"/>
        <v>0</v>
      </c>
      <c r="I97" s="99">
        <f t="shared" si="17"/>
        <v>0</v>
      </c>
      <c r="J97" s="99">
        <f t="shared" si="17"/>
        <v>0</v>
      </c>
      <c r="K97" s="99">
        <f t="shared" si="17"/>
        <v>0</v>
      </c>
      <c r="L97" s="99">
        <f t="shared" si="17"/>
        <v>0</v>
      </c>
      <c r="M97" s="99">
        <f t="shared" si="17"/>
        <v>0</v>
      </c>
      <c r="N97" s="99">
        <f t="shared" si="17"/>
        <v>0</v>
      </c>
      <c r="O97" s="99">
        <f t="shared" si="17"/>
        <v>0</v>
      </c>
      <c r="P97" s="98">
        <v>0</v>
      </c>
      <c r="Q97" s="98">
        <f t="shared" si="6"/>
        <v>0</v>
      </c>
      <c r="R97" s="153" t="str">
        <f t="shared" si="7"/>
        <v/>
      </c>
    </row>
    <row r="98" spans="1:24" x14ac:dyDescent="0.25">
      <c r="A98" s="1" t="s">
        <v>85</v>
      </c>
      <c r="B98" s="5" t="s">
        <v>86</v>
      </c>
      <c r="C98" s="99">
        <f t="shared" si="17"/>
        <v>0</v>
      </c>
      <c r="D98" s="99">
        <f t="shared" si="17"/>
        <v>0</v>
      </c>
      <c r="E98" s="99">
        <f t="shared" si="17"/>
        <v>0</v>
      </c>
      <c r="F98" s="99">
        <f t="shared" si="17"/>
        <v>0</v>
      </c>
      <c r="G98" s="99">
        <f t="shared" si="17"/>
        <v>0</v>
      </c>
      <c r="H98" s="99">
        <f t="shared" si="17"/>
        <v>0</v>
      </c>
      <c r="I98" s="99">
        <f t="shared" si="17"/>
        <v>0</v>
      </c>
      <c r="J98" s="99">
        <f t="shared" si="17"/>
        <v>0</v>
      </c>
      <c r="K98" s="99">
        <f t="shared" si="17"/>
        <v>0</v>
      </c>
      <c r="L98" s="99">
        <f t="shared" si="17"/>
        <v>0</v>
      </c>
      <c r="M98" s="99">
        <f t="shared" si="17"/>
        <v>0</v>
      </c>
      <c r="N98" s="99">
        <f t="shared" si="17"/>
        <v>0</v>
      </c>
      <c r="O98" s="99">
        <f t="shared" si="17"/>
        <v>0</v>
      </c>
      <c r="P98" s="98">
        <f>_xlfn.IFNA(VLOOKUP(A98,'Op Budget 2016'!$C$15:$Q$53,15,FALSE),)</f>
        <v>0</v>
      </c>
      <c r="Q98" s="98">
        <f t="shared" si="6"/>
        <v>0</v>
      </c>
      <c r="R98" s="153" t="str">
        <f t="shared" si="7"/>
        <v/>
      </c>
    </row>
    <row r="99" spans="1:24" x14ac:dyDescent="0.25">
      <c r="A99" s="1" t="s">
        <v>87</v>
      </c>
      <c r="B99" s="5" t="s">
        <v>88</v>
      </c>
      <c r="C99" s="99">
        <v>14400</v>
      </c>
      <c r="D99" s="99">
        <f t="shared" si="17"/>
        <v>250</v>
      </c>
      <c r="E99" s="99">
        <f t="shared" si="17"/>
        <v>250</v>
      </c>
      <c r="F99" s="99">
        <f t="shared" si="17"/>
        <v>250</v>
      </c>
      <c r="G99" s="99">
        <f t="shared" si="17"/>
        <v>250</v>
      </c>
      <c r="H99" s="99">
        <f t="shared" si="17"/>
        <v>250</v>
      </c>
      <c r="I99" s="99">
        <f t="shared" si="17"/>
        <v>250</v>
      </c>
      <c r="J99" s="99">
        <f t="shared" si="17"/>
        <v>250</v>
      </c>
      <c r="K99" s="99">
        <f t="shared" si="17"/>
        <v>250</v>
      </c>
      <c r="L99" s="99">
        <f t="shared" si="17"/>
        <v>250</v>
      </c>
      <c r="M99" s="99">
        <f t="shared" si="17"/>
        <v>250</v>
      </c>
      <c r="N99" s="99">
        <f t="shared" si="17"/>
        <v>250</v>
      </c>
      <c r="O99" s="99">
        <f t="shared" si="17"/>
        <v>250</v>
      </c>
      <c r="P99" s="98">
        <v>3000</v>
      </c>
      <c r="Q99" s="98">
        <f t="shared" si="6"/>
        <v>-11400</v>
      </c>
      <c r="R99" s="153">
        <f t="shared" si="7"/>
        <v>-0.79166666666666663</v>
      </c>
      <c r="S99" t="s">
        <v>532</v>
      </c>
    </row>
    <row r="100" spans="1:24" x14ac:dyDescent="0.25">
      <c r="A100" s="1" t="s">
        <v>89</v>
      </c>
      <c r="B100" s="5" t="s">
        <v>90</v>
      </c>
      <c r="C100" s="99">
        <v>7200</v>
      </c>
      <c r="D100" s="99">
        <v>600</v>
      </c>
      <c r="E100" s="99">
        <f t="shared" si="17"/>
        <v>600</v>
      </c>
      <c r="F100" s="99">
        <f t="shared" si="17"/>
        <v>600</v>
      </c>
      <c r="G100" s="99">
        <f t="shared" si="17"/>
        <v>600</v>
      </c>
      <c r="H100" s="99">
        <f t="shared" si="17"/>
        <v>600</v>
      </c>
      <c r="I100" s="99">
        <f t="shared" si="17"/>
        <v>600</v>
      </c>
      <c r="J100" s="99">
        <f t="shared" si="17"/>
        <v>600</v>
      </c>
      <c r="K100" s="99">
        <f t="shared" si="17"/>
        <v>600</v>
      </c>
      <c r="L100" s="99">
        <f t="shared" si="17"/>
        <v>600</v>
      </c>
      <c r="M100" s="99">
        <f t="shared" si="17"/>
        <v>600</v>
      </c>
      <c r="N100" s="99">
        <f t="shared" si="17"/>
        <v>600</v>
      </c>
      <c r="O100" s="99">
        <f t="shared" si="17"/>
        <v>600</v>
      </c>
      <c r="P100" s="98">
        <v>7200</v>
      </c>
      <c r="Q100" s="98">
        <f t="shared" si="6"/>
        <v>0</v>
      </c>
      <c r="R100" s="153">
        <f t="shared" si="7"/>
        <v>0</v>
      </c>
    </row>
    <row r="101" spans="1:24" x14ac:dyDescent="0.25">
      <c r="A101" s="1" t="s">
        <v>91</v>
      </c>
      <c r="B101" s="5" t="s">
        <v>92</v>
      </c>
      <c r="C101" s="99">
        <v>0</v>
      </c>
      <c r="D101" s="99">
        <v>0</v>
      </c>
      <c r="E101" s="99">
        <v>0</v>
      </c>
      <c r="F101" s="99">
        <v>0</v>
      </c>
      <c r="G101" s="99">
        <v>0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98">
        <f>SUM(D101:O101)</f>
        <v>0</v>
      </c>
      <c r="Q101" s="98">
        <f t="shared" si="6"/>
        <v>0</v>
      </c>
      <c r="R101" s="153" t="str">
        <f t="shared" si="7"/>
        <v/>
      </c>
    </row>
    <row r="102" spans="1:24" ht="15.75" thickBot="1" x14ac:dyDescent="0.3">
      <c r="A102" s="1"/>
      <c r="B102" s="5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 t="str">
        <f t="shared" si="6"/>
        <v/>
      </c>
      <c r="R102" s="153" t="str">
        <f t="shared" si="7"/>
        <v/>
      </c>
    </row>
    <row r="103" spans="1:24" s="91" customFormat="1" x14ac:dyDescent="0.25">
      <c r="A103" s="6" t="s">
        <v>93</v>
      </c>
      <c r="B103" s="3" t="s">
        <v>94</v>
      </c>
      <c r="C103" s="100">
        <f t="shared" ref="C103" si="18">SUM(C85:C102)</f>
        <v>223168</v>
      </c>
      <c r="D103" s="100">
        <f t="shared" ref="D103:O103" si="19">SUM(D85:D102)</f>
        <v>46914.316666666666</v>
      </c>
      <c r="E103" s="100">
        <f t="shared" si="19"/>
        <v>1098.1666666666665</v>
      </c>
      <c r="F103" s="100">
        <f t="shared" si="19"/>
        <v>1348.1666666666667</v>
      </c>
      <c r="G103" s="100">
        <f t="shared" si="19"/>
        <v>46914.316666666666</v>
      </c>
      <c r="H103" s="100">
        <f t="shared" si="19"/>
        <v>1398.1666666666665</v>
      </c>
      <c r="I103" s="100">
        <f t="shared" si="19"/>
        <v>13098.166666666666</v>
      </c>
      <c r="J103" s="100">
        <f t="shared" si="19"/>
        <v>46914.316666666666</v>
      </c>
      <c r="K103" s="100">
        <f t="shared" si="19"/>
        <v>1098.1666666666665</v>
      </c>
      <c r="L103" s="100">
        <f t="shared" si="19"/>
        <v>1348.1666666666667</v>
      </c>
      <c r="M103" s="100">
        <f t="shared" si="19"/>
        <v>46914.316666666666</v>
      </c>
      <c r="N103" s="100">
        <f t="shared" si="19"/>
        <v>1098.1666666666665</v>
      </c>
      <c r="O103" s="100">
        <f t="shared" si="19"/>
        <v>1098.1666666666665</v>
      </c>
      <c r="P103" s="100">
        <f>SUM(P85:P102)</f>
        <v>209242.6</v>
      </c>
      <c r="Q103" s="100">
        <f t="shared" si="6"/>
        <v>-13925.399999999994</v>
      </c>
      <c r="R103" s="153">
        <f t="shared" si="7"/>
        <v>-6.2398731000860311E-2</v>
      </c>
    </row>
    <row r="104" spans="1:24" x14ac:dyDescent="0.25">
      <c r="A104" s="1"/>
      <c r="B104" s="5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 t="str">
        <f t="shared" si="6"/>
        <v/>
      </c>
      <c r="R104" s="153" t="str">
        <f t="shared" si="7"/>
        <v/>
      </c>
    </row>
    <row r="105" spans="1:24" x14ac:dyDescent="0.25">
      <c r="A105" s="1" t="s">
        <v>95</v>
      </c>
      <c r="B105" s="5" t="s">
        <v>96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 t="str">
        <f t="shared" si="6"/>
        <v/>
      </c>
      <c r="R105" s="153" t="str">
        <f t="shared" si="7"/>
        <v/>
      </c>
      <c r="U105" s="110"/>
      <c r="V105" s="138"/>
      <c r="W105" s="138"/>
      <c r="X105" s="138"/>
    </row>
    <row r="106" spans="1:24" x14ac:dyDescent="0.25">
      <c r="A106" s="1" t="s">
        <v>256</v>
      </c>
      <c r="B106" s="5" t="s">
        <v>369</v>
      </c>
      <c r="C106" s="99">
        <v>1705</v>
      </c>
      <c r="D106" s="99">
        <f t="shared" ref="D106:O106" si="20">$P$106/12</f>
        <v>99.458333333333329</v>
      </c>
      <c r="E106" s="99">
        <f t="shared" si="20"/>
        <v>99.458333333333329</v>
      </c>
      <c r="F106" s="99">
        <f t="shared" si="20"/>
        <v>99.458333333333329</v>
      </c>
      <c r="G106" s="99">
        <f t="shared" si="20"/>
        <v>99.458333333333329</v>
      </c>
      <c r="H106" s="99">
        <f t="shared" si="20"/>
        <v>99.458333333333329</v>
      </c>
      <c r="I106" s="99">
        <f t="shared" si="20"/>
        <v>99.458333333333329</v>
      </c>
      <c r="J106" s="99">
        <f t="shared" si="20"/>
        <v>99.458333333333329</v>
      </c>
      <c r="K106" s="99">
        <f t="shared" si="20"/>
        <v>99.458333333333329</v>
      </c>
      <c r="L106" s="99">
        <f t="shared" si="20"/>
        <v>99.458333333333329</v>
      </c>
      <c r="M106" s="99">
        <f t="shared" si="20"/>
        <v>99.458333333333329</v>
      </c>
      <c r="N106" s="99">
        <f t="shared" si="20"/>
        <v>99.458333333333329</v>
      </c>
      <c r="O106" s="99">
        <f t="shared" si="20"/>
        <v>99.458333333333329</v>
      </c>
      <c r="P106" s="98">
        <f>C106*0.7</f>
        <v>1193.5</v>
      </c>
      <c r="Q106" s="98">
        <f t="shared" si="6"/>
        <v>-511.5</v>
      </c>
      <c r="R106" s="153">
        <f t="shared" si="7"/>
        <v>-0.3</v>
      </c>
      <c r="S106" t="s">
        <v>478</v>
      </c>
      <c r="U106" s="133"/>
      <c r="V106" s="138"/>
      <c r="W106" s="138"/>
      <c r="X106" s="138"/>
    </row>
    <row r="107" spans="1:24" x14ac:dyDescent="0.25">
      <c r="A107" s="1" t="s">
        <v>97</v>
      </c>
      <c r="B107" s="5" t="s">
        <v>98</v>
      </c>
      <c r="C107" s="99">
        <v>0</v>
      </c>
      <c r="D107" s="99">
        <v>0</v>
      </c>
      <c r="E107" s="99">
        <v>0</v>
      </c>
      <c r="F107" s="99">
        <f>103*0.7</f>
        <v>72.099999999999994</v>
      </c>
      <c r="G107" s="99">
        <f>20*0.7</f>
        <v>14</v>
      </c>
      <c r="H107" s="99">
        <v>0</v>
      </c>
      <c r="I107" s="99">
        <v>0</v>
      </c>
      <c r="J107" s="99">
        <f>117*0.7</f>
        <v>81.899999999999991</v>
      </c>
      <c r="K107" s="99">
        <f>78*0.7</f>
        <v>54.599999999999994</v>
      </c>
      <c r="L107" s="99">
        <v>0</v>
      </c>
      <c r="M107" s="99">
        <v>0</v>
      </c>
      <c r="N107" s="99">
        <v>0</v>
      </c>
      <c r="O107" s="99">
        <v>0</v>
      </c>
      <c r="P107" s="98">
        <f>SUM(D107:O107)</f>
        <v>222.6</v>
      </c>
      <c r="Q107" s="98">
        <f t="shared" si="6"/>
        <v>222.6</v>
      </c>
      <c r="R107" s="153" t="str">
        <f t="shared" si="7"/>
        <v/>
      </c>
      <c r="S107" t="s">
        <v>478</v>
      </c>
      <c r="U107" s="133"/>
      <c r="V107" s="138"/>
      <c r="W107" s="138"/>
      <c r="X107" s="138"/>
    </row>
    <row r="108" spans="1:24" x14ac:dyDescent="0.25">
      <c r="A108" s="1" t="s">
        <v>99</v>
      </c>
      <c r="B108" s="5" t="s">
        <v>100</v>
      </c>
      <c r="C108" s="99">
        <v>1482</v>
      </c>
      <c r="D108" s="99">
        <f t="shared" ref="D108:O108" si="21">$P$108/12</f>
        <v>86.449999999999989</v>
      </c>
      <c r="E108" s="99">
        <f t="shared" si="21"/>
        <v>86.449999999999989</v>
      </c>
      <c r="F108" s="99">
        <f t="shared" si="21"/>
        <v>86.449999999999989</v>
      </c>
      <c r="G108" s="99">
        <f t="shared" si="21"/>
        <v>86.449999999999989</v>
      </c>
      <c r="H108" s="99">
        <f t="shared" si="21"/>
        <v>86.449999999999989</v>
      </c>
      <c r="I108" s="99">
        <f t="shared" si="21"/>
        <v>86.449999999999989</v>
      </c>
      <c r="J108" s="99">
        <f t="shared" si="21"/>
        <v>86.449999999999989</v>
      </c>
      <c r="K108" s="99">
        <f t="shared" si="21"/>
        <v>86.449999999999989</v>
      </c>
      <c r="L108" s="99">
        <f t="shared" si="21"/>
        <v>86.449999999999989</v>
      </c>
      <c r="M108" s="99">
        <f t="shared" si="21"/>
        <v>86.449999999999989</v>
      </c>
      <c r="N108" s="99">
        <f t="shared" si="21"/>
        <v>86.449999999999989</v>
      </c>
      <c r="O108" s="99">
        <f t="shared" si="21"/>
        <v>86.449999999999989</v>
      </c>
      <c r="P108" s="98">
        <f>C108*0.7</f>
        <v>1037.3999999999999</v>
      </c>
      <c r="Q108" s="98">
        <f t="shared" si="6"/>
        <v>-444.60000000000014</v>
      </c>
      <c r="R108" s="153">
        <f t="shared" si="7"/>
        <v>-0.3000000000000001</v>
      </c>
      <c r="S108" t="s">
        <v>478</v>
      </c>
      <c r="V108" s="138"/>
      <c r="W108" s="138"/>
      <c r="X108" s="138"/>
    </row>
    <row r="109" spans="1:24" x14ac:dyDescent="0.25">
      <c r="A109" s="1" t="s">
        <v>101</v>
      </c>
      <c r="B109" s="5" t="s">
        <v>102</v>
      </c>
      <c r="C109" s="99">
        <f t="shared" ref="C109:O109" si="22">$P$109/12</f>
        <v>0</v>
      </c>
      <c r="D109" s="99">
        <f t="shared" si="22"/>
        <v>0</v>
      </c>
      <c r="E109" s="99">
        <f t="shared" si="22"/>
        <v>0</v>
      </c>
      <c r="F109" s="99">
        <f t="shared" si="22"/>
        <v>0</v>
      </c>
      <c r="G109" s="99">
        <f t="shared" si="22"/>
        <v>0</v>
      </c>
      <c r="H109" s="99">
        <f t="shared" si="22"/>
        <v>0</v>
      </c>
      <c r="I109" s="99">
        <f t="shared" si="22"/>
        <v>0</v>
      </c>
      <c r="J109" s="99">
        <f t="shared" si="22"/>
        <v>0</v>
      </c>
      <c r="K109" s="99">
        <f t="shared" si="22"/>
        <v>0</v>
      </c>
      <c r="L109" s="99">
        <f t="shared" si="22"/>
        <v>0</v>
      </c>
      <c r="M109" s="99">
        <f t="shared" si="22"/>
        <v>0</v>
      </c>
      <c r="N109" s="99">
        <f t="shared" si="22"/>
        <v>0</v>
      </c>
      <c r="O109" s="99">
        <f t="shared" si="22"/>
        <v>0</v>
      </c>
      <c r="P109" s="98">
        <v>0</v>
      </c>
      <c r="Q109" s="98">
        <f t="shared" si="6"/>
        <v>0</v>
      </c>
      <c r="R109" s="153" t="str">
        <f t="shared" si="7"/>
        <v/>
      </c>
      <c r="V109" s="133"/>
    </row>
    <row r="110" spans="1:24" x14ac:dyDescent="0.25">
      <c r="A110" s="1" t="s">
        <v>103</v>
      </c>
      <c r="B110" s="5" t="s">
        <v>104</v>
      </c>
      <c r="C110" s="99">
        <v>278</v>
      </c>
      <c r="D110" s="99">
        <f>$P$110/12</f>
        <v>16.216666666666665</v>
      </c>
      <c r="E110" s="99">
        <f t="shared" ref="E110:O110" si="23">$P$110/12</f>
        <v>16.216666666666665</v>
      </c>
      <c r="F110" s="99">
        <f t="shared" si="23"/>
        <v>16.216666666666665</v>
      </c>
      <c r="G110" s="99">
        <f t="shared" si="23"/>
        <v>16.216666666666665</v>
      </c>
      <c r="H110" s="99">
        <f t="shared" si="23"/>
        <v>16.216666666666665</v>
      </c>
      <c r="I110" s="99">
        <f t="shared" si="23"/>
        <v>16.216666666666665</v>
      </c>
      <c r="J110" s="99">
        <f t="shared" si="23"/>
        <v>16.216666666666665</v>
      </c>
      <c r="K110" s="99">
        <f t="shared" si="23"/>
        <v>16.216666666666665</v>
      </c>
      <c r="L110" s="99">
        <f t="shared" si="23"/>
        <v>16.216666666666665</v>
      </c>
      <c r="M110" s="99">
        <f t="shared" si="23"/>
        <v>16.216666666666665</v>
      </c>
      <c r="N110" s="99">
        <f t="shared" si="23"/>
        <v>16.216666666666665</v>
      </c>
      <c r="O110" s="99">
        <f t="shared" si="23"/>
        <v>16.216666666666665</v>
      </c>
      <c r="P110" s="98">
        <f>C110*0.7</f>
        <v>194.6</v>
      </c>
      <c r="Q110" s="98">
        <f t="shared" si="6"/>
        <v>-83.4</v>
      </c>
      <c r="R110" s="153">
        <f t="shared" si="7"/>
        <v>-0.30000000000000004</v>
      </c>
      <c r="S110" t="s">
        <v>478</v>
      </c>
      <c r="V110" s="133"/>
      <c r="W110" s="133"/>
      <c r="X110" s="137"/>
    </row>
    <row r="111" spans="1:24" ht="15.75" thickBot="1" x14ac:dyDescent="0.3">
      <c r="A111" s="1"/>
      <c r="B111" s="5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 t="str">
        <f t="shared" si="6"/>
        <v/>
      </c>
      <c r="R111" s="153" t="str">
        <f t="shared" si="7"/>
        <v/>
      </c>
      <c r="W111" s="174"/>
    </row>
    <row r="112" spans="1:24" s="91" customFormat="1" x14ac:dyDescent="0.25">
      <c r="A112" s="6" t="s">
        <v>105</v>
      </c>
      <c r="B112" s="3" t="s">
        <v>106</v>
      </c>
      <c r="C112" s="100">
        <f t="shared" ref="C112" si="24">SUM(C106:C111)</f>
        <v>3465</v>
      </c>
      <c r="D112" s="100">
        <f t="shared" ref="D112:O112" si="25">SUM(D106:D111)</f>
        <v>202.12499999999997</v>
      </c>
      <c r="E112" s="100">
        <f t="shared" si="25"/>
        <v>202.12499999999997</v>
      </c>
      <c r="F112" s="100">
        <f t="shared" si="25"/>
        <v>274.22499999999997</v>
      </c>
      <c r="G112" s="100">
        <f t="shared" si="25"/>
        <v>216.12499999999997</v>
      </c>
      <c r="H112" s="100">
        <f t="shared" si="25"/>
        <v>202.12499999999997</v>
      </c>
      <c r="I112" s="100">
        <f t="shared" si="25"/>
        <v>202.12499999999997</v>
      </c>
      <c r="J112" s="100">
        <f t="shared" si="25"/>
        <v>284.02499999999992</v>
      </c>
      <c r="K112" s="100">
        <f t="shared" si="25"/>
        <v>256.72499999999997</v>
      </c>
      <c r="L112" s="100">
        <f t="shared" si="25"/>
        <v>202.12499999999997</v>
      </c>
      <c r="M112" s="100">
        <f t="shared" si="25"/>
        <v>202.12499999999997</v>
      </c>
      <c r="N112" s="100">
        <f t="shared" si="25"/>
        <v>202.12499999999997</v>
      </c>
      <c r="O112" s="100">
        <f t="shared" si="25"/>
        <v>202.12499999999997</v>
      </c>
      <c r="P112" s="100">
        <f>SUM(P106:P111)</f>
        <v>2648.1</v>
      </c>
      <c r="Q112" s="100">
        <f t="shared" si="6"/>
        <v>-816.90000000000009</v>
      </c>
      <c r="R112" s="153">
        <f t="shared" si="7"/>
        <v>-0.23575757575757578</v>
      </c>
    </row>
    <row r="113" spans="1:18" x14ac:dyDescent="0.25">
      <c r="A113" s="1"/>
      <c r="B113" s="5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 t="str">
        <f t="shared" si="6"/>
        <v/>
      </c>
      <c r="R113" s="153" t="str">
        <f t="shared" si="7"/>
        <v/>
      </c>
    </row>
    <row r="114" spans="1:18" x14ac:dyDescent="0.25">
      <c r="A114" s="1" t="s">
        <v>107</v>
      </c>
      <c r="B114" s="5" t="s">
        <v>108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 t="str">
        <f t="shared" si="6"/>
        <v/>
      </c>
      <c r="R114" s="153" t="str">
        <f t="shared" si="7"/>
        <v/>
      </c>
    </row>
    <row r="115" spans="1:18" ht="15.75" thickBot="1" x14ac:dyDescent="0.3">
      <c r="A115" s="1" t="s">
        <v>109</v>
      </c>
      <c r="B115" s="5" t="s">
        <v>110</v>
      </c>
      <c r="C115" s="98">
        <v>179075</v>
      </c>
      <c r="D115" s="98">
        <v>14390.46</v>
      </c>
      <c r="E115" s="98">
        <v>14366.82</v>
      </c>
      <c r="F115" s="98">
        <v>14343.1</v>
      </c>
      <c r="G115" s="98">
        <v>14319.3</v>
      </c>
      <c r="H115" s="98">
        <v>14295.41</v>
      </c>
      <c r="I115" s="98">
        <v>14271.45</v>
      </c>
      <c r="J115" s="98">
        <v>14247.41</v>
      </c>
      <c r="K115" s="98">
        <v>14223.29</v>
      </c>
      <c r="L115" s="98">
        <v>14199.09</v>
      </c>
      <c r="M115" s="98">
        <v>16832.59</v>
      </c>
      <c r="N115" s="98">
        <v>16806.3</v>
      </c>
      <c r="O115" s="98">
        <v>16779.900000000001</v>
      </c>
      <c r="P115" s="98">
        <f>SUM(D115:O115)</f>
        <v>179075.11999999997</v>
      </c>
      <c r="Q115" s="98">
        <f t="shared" si="6"/>
        <v>0.11999999996623956</v>
      </c>
      <c r="R115" s="153">
        <f t="shared" si="7"/>
        <v>6.7011028879653527E-7</v>
      </c>
    </row>
    <row r="116" spans="1:18" s="91" customFormat="1" x14ac:dyDescent="0.25">
      <c r="A116" s="6" t="s">
        <v>111</v>
      </c>
      <c r="B116" s="3" t="s">
        <v>112</v>
      </c>
      <c r="C116" s="100">
        <f t="shared" ref="C116:O116" si="26">SUM(C115:C115)</f>
        <v>179075</v>
      </c>
      <c r="D116" s="100">
        <f t="shared" si="26"/>
        <v>14390.46</v>
      </c>
      <c r="E116" s="100">
        <f t="shared" si="26"/>
        <v>14366.82</v>
      </c>
      <c r="F116" s="100">
        <f t="shared" si="26"/>
        <v>14343.1</v>
      </c>
      <c r="G116" s="100">
        <f t="shared" si="26"/>
        <v>14319.3</v>
      </c>
      <c r="H116" s="100">
        <f t="shared" si="26"/>
        <v>14295.41</v>
      </c>
      <c r="I116" s="100">
        <f t="shared" si="26"/>
        <v>14271.45</v>
      </c>
      <c r="J116" s="100">
        <f t="shared" si="26"/>
        <v>14247.41</v>
      </c>
      <c r="K116" s="100">
        <f t="shared" si="26"/>
        <v>14223.29</v>
      </c>
      <c r="L116" s="100">
        <f t="shared" si="26"/>
        <v>14199.09</v>
      </c>
      <c r="M116" s="100">
        <f t="shared" si="26"/>
        <v>16832.59</v>
      </c>
      <c r="N116" s="100">
        <f t="shared" si="26"/>
        <v>16806.3</v>
      </c>
      <c r="O116" s="100">
        <f t="shared" si="26"/>
        <v>16779.900000000001</v>
      </c>
      <c r="P116" s="100">
        <f>SUM(P115:P115)</f>
        <v>179075.11999999997</v>
      </c>
      <c r="Q116" s="100">
        <f t="shared" si="6"/>
        <v>0.11999999996623956</v>
      </c>
      <c r="R116" s="153">
        <f t="shared" si="7"/>
        <v>6.7011028879653527E-7</v>
      </c>
    </row>
    <row r="117" spans="1:18" x14ac:dyDescent="0.25">
      <c r="A117" s="1"/>
      <c r="B117" s="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 t="str">
        <f t="shared" si="6"/>
        <v/>
      </c>
      <c r="R117" s="153" t="str">
        <f t="shared" si="7"/>
        <v/>
      </c>
    </row>
    <row r="118" spans="1:18" ht="15.75" thickBot="1" x14ac:dyDescent="0.3">
      <c r="A118" s="1"/>
      <c r="B118" s="5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 t="str">
        <f t="shared" si="6"/>
        <v/>
      </c>
      <c r="R118" s="153" t="str">
        <f t="shared" si="7"/>
        <v/>
      </c>
    </row>
    <row r="119" spans="1:18" s="91" customFormat="1" x14ac:dyDescent="0.25">
      <c r="A119" s="6" t="s">
        <v>113</v>
      </c>
      <c r="B119" s="3" t="s">
        <v>114</v>
      </c>
      <c r="C119" s="100">
        <f t="shared" ref="C119" si="27">SUM(C116,C112,C103,C82)</f>
        <v>554590</v>
      </c>
      <c r="D119" s="100">
        <f t="shared" ref="D119:O119" si="28">SUM(D116,D112,D103,D82)</f>
        <v>75553.901666666672</v>
      </c>
      <c r="E119" s="100">
        <f t="shared" si="28"/>
        <v>24271.111666666664</v>
      </c>
      <c r="F119" s="100">
        <f t="shared" si="28"/>
        <v>35225.491666666669</v>
      </c>
      <c r="G119" s="100">
        <f t="shared" si="28"/>
        <v>73959.741666666669</v>
      </c>
      <c r="H119" s="100">
        <f t="shared" si="28"/>
        <v>24912.701666666668</v>
      </c>
      <c r="I119" s="100">
        <f t="shared" si="28"/>
        <v>49331.741666666669</v>
      </c>
      <c r="J119" s="100">
        <f t="shared" si="28"/>
        <v>73205.751666666663</v>
      </c>
      <c r="K119" s="100">
        <f t="shared" si="28"/>
        <v>32480.181666666667</v>
      </c>
      <c r="L119" s="100">
        <f t="shared" si="28"/>
        <v>24766.381666666668</v>
      </c>
      <c r="M119" s="100">
        <f t="shared" si="28"/>
        <v>76609.031666666662</v>
      </c>
      <c r="N119" s="100">
        <f t="shared" si="28"/>
        <v>31123.591666666667</v>
      </c>
      <c r="O119" s="100">
        <f t="shared" si="28"/>
        <v>34982.191666666666</v>
      </c>
      <c r="P119" s="100">
        <f>SUM(P116,P112,P103,P82)</f>
        <v>554270.81999999995</v>
      </c>
      <c r="Q119" s="100">
        <f t="shared" si="6"/>
        <v>-319.18000000005122</v>
      </c>
      <c r="R119" s="153">
        <f t="shared" si="7"/>
        <v>-5.7552426116599866E-4</v>
      </c>
    </row>
    <row r="120" spans="1:18" x14ac:dyDescent="0.25">
      <c r="A120" s="1"/>
      <c r="B120" s="5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 t="str">
        <f t="shared" si="6"/>
        <v/>
      </c>
      <c r="R120" s="153" t="str">
        <f t="shared" si="7"/>
        <v/>
      </c>
    </row>
    <row r="121" spans="1:18" ht="15.75" thickBot="1" x14ac:dyDescent="0.3">
      <c r="A121" s="1"/>
      <c r="B121" s="5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 t="str">
        <f t="shared" si="6"/>
        <v/>
      </c>
      <c r="R121" s="153" t="str">
        <f t="shared" si="7"/>
        <v/>
      </c>
    </row>
    <row r="122" spans="1:18" s="91" customFormat="1" x14ac:dyDescent="0.25">
      <c r="A122" s="6" t="s">
        <v>115</v>
      </c>
      <c r="B122" s="3" t="s">
        <v>116</v>
      </c>
      <c r="C122" s="100">
        <f>-C119+C60</f>
        <v>405401</v>
      </c>
      <c r="D122" s="100">
        <f>-D119+D60</f>
        <v>17279.698333333319</v>
      </c>
      <c r="E122" s="100">
        <f>-E119+E60</f>
        <v>38700.488333333327</v>
      </c>
      <c r="F122" s="100">
        <f>-F119+F60</f>
        <v>29166.178333333322</v>
      </c>
      <c r="G122" s="100">
        <f>-G119+G60</f>
        <v>20293.928333333315</v>
      </c>
      <c r="H122" s="100">
        <f>-H119+H60</f>
        <v>39478.968333333323</v>
      </c>
      <c r="I122" s="100">
        <f>-I119+I60</f>
        <v>15059.928333333322</v>
      </c>
      <c r="J122" s="100">
        <f>-J119+J60</f>
        <v>21047.91833333332</v>
      </c>
      <c r="K122" s="100">
        <f>-K119+K60</f>
        <v>31911.488333333324</v>
      </c>
      <c r="L122" s="100">
        <f>-L119+L60</f>
        <v>39625.288333333323</v>
      </c>
      <c r="M122" s="100">
        <f>-M119+M60</f>
        <v>17644.638333333321</v>
      </c>
      <c r="N122" s="100">
        <f>-N119+N60</f>
        <v>33268.078333333324</v>
      </c>
      <c r="O122" s="100">
        <f>-O119+O60</f>
        <v>29409.478333333325</v>
      </c>
      <c r="P122" s="100">
        <f>-P119+P60</f>
        <v>335042.08000000007</v>
      </c>
      <c r="Q122" s="100">
        <f t="shared" si="6"/>
        <v>-70358.919999999925</v>
      </c>
      <c r="R122" s="153">
        <f t="shared" si="7"/>
        <v>-0.17355388861892282</v>
      </c>
    </row>
    <row r="123" spans="1:18" x14ac:dyDescent="0.25">
      <c r="A123" s="1"/>
      <c r="B123" s="5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 t="str">
        <f t="shared" si="6"/>
        <v/>
      </c>
      <c r="R123" s="153" t="str">
        <f t="shared" ref="R123:R183" si="29">IF(C123&lt;&gt;0,Q123/C123,"")</f>
        <v/>
      </c>
    </row>
    <row r="124" spans="1:18" x14ac:dyDescent="0.25">
      <c r="A124" s="1"/>
      <c r="B124" s="5" t="s">
        <v>117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 t="str">
        <f t="shared" si="6"/>
        <v/>
      </c>
      <c r="R124" s="153" t="str">
        <f t="shared" si="29"/>
        <v/>
      </c>
    </row>
    <row r="125" spans="1:18" ht="15.75" thickBot="1" x14ac:dyDescent="0.3">
      <c r="A125" s="1" t="s">
        <v>118</v>
      </c>
      <c r="B125" s="5" t="s">
        <v>119</v>
      </c>
      <c r="C125" s="99">
        <v>-128089</v>
      </c>
      <c r="D125" s="99">
        <f>-15998.61+D89</f>
        <v>29817.54</v>
      </c>
      <c r="E125" s="99">
        <f t="shared" ref="E125:O125" si="30">-15998.61+E89</f>
        <v>-15998.61</v>
      </c>
      <c r="F125" s="99">
        <f t="shared" si="30"/>
        <v>-15998.61</v>
      </c>
      <c r="G125" s="99">
        <f t="shared" si="30"/>
        <v>29817.54</v>
      </c>
      <c r="H125" s="99">
        <f t="shared" si="30"/>
        <v>-15998.61</v>
      </c>
      <c r="I125" s="99">
        <f t="shared" si="30"/>
        <v>-15998.61</v>
      </c>
      <c r="J125" s="99">
        <f t="shared" si="30"/>
        <v>29817.54</v>
      </c>
      <c r="K125" s="99">
        <f t="shared" si="30"/>
        <v>-15998.61</v>
      </c>
      <c r="L125" s="99">
        <f t="shared" si="30"/>
        <v>-15998.61</v>
      </c>
      <c r="M125" s="99">
        <f t="shared" si="30"/>
        <v>29817.54</v>
      </c>
      <c r="N125" s="99">
        <f t="shared" si="30"/>
        <v>-15998.61</v>
      </c>
      <c r="O125" s="99">
        <f t="shared" si="30"/>
        <v>-15998.61</v>
      </c>
      <c r="P125" s="98">
        <f>SUM(D125:O125)</f>
        <v>-8718.7200000000012</v>
      </c>
      <c r="Q125" s="98">
        <f t="shared" si="6"/>
        <v>119370.28</v>
      </c>
      <c r="R125" s="153">
        <f t="shared" si="29"/>
        <v>-0.93193232830297679</v>
      </c>
    </row>
    <row r="126" spans="1:18" s="91" customFormat="1" x14ac:dyDescent="0.25">
      <c r="A126" s="6" t="s">
        <v>120</v>
      </c>
      <c r="B126" s="3" t="s">
        <v>121</v>
      </c>
      <c r="C126" s="100">
        <f t="shared" ref="C126:O126" si="31">SUM(C125:C125)</f>
        <v>-128089</v>
      </c>
      <c r="D126" s="100">
        <f t="shared" si="31"/>
        <v>29817.54</v>
      </c>
      <c r="E126" s="100">
        <f t="shared" si="31"/>
        <v>-15998.61</v>
      </c>
      <c r="F126" s="100">
        <f t="shared" si="31"/>
        <v>-15998.61</v>
      </c>
      <c r="G126" s="100">
        <f t="shared" si="31"/>
        <v>29817.54</v>
      </c>
      <c r="H126" s="100">
        <f t="shared" si="31"/>
        <v>-15998.61</v>
      </c>
      <c r="I126" s="100">
        <f t="shared" si="31"/>
        <v>-15998.61</v>
      </c>
      <c r="J126" s="100">
        <f t="shared" si="31"/>
        <v>29817.54</v>
      </c>
      <c r="K126" s="100">
        <f t="shared" si="31"/>
        <v>-15998.61</v>
      </c>
      <c r="L126" s="100">
        <f t="shared" si="31"/>
        <v>-15998.61</v>
      </c>
      <c r="M126" s="100">
        <f t="shared" si="31"/>
        <v>29817.54</v>
      </c>
      <c r="N126" s="100">
        <f t="shared" si="31"/>
        <v>-15998.61</v>
      </c>
      <c r="O126" s="100">
        <f t="shared" si="31"/>
        <v>-15998.61</v>
      </c>
      <c r="P126" s="100">
        <f>SUM(P125:P125)</f>
        <v>-8718.7200000000012</v>
      </c>
      <c r="Q126" s="100">
        <f t="shared" si="6"/>
        <v>119370.28</v>
      </c>
      <c r="R126" s="153">
        <f t="shared" si="29"/>
        <v>-0.93193232830297679</v>
      </c>
    </row>
    <row r="127" spans="1:18" s="91" customFormat="1" x14ac:dyDescent="0.25">
      <c r="A127" s="6"/>
      <c r="B127" s="3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 t="str">
        <f t="shared" ref="Q127:Q186" si="32">IF(C127&lt;&gt;"",P127-C127,"")</f>
        <v/>
      </c>
      <c r="R127" s="153" t="str">
        <f t="shared" si="29"/>
        <v/>
      </c>
    </row>
    <row r="128" spans="1:18" s="142" customFormat="1" x14ac:dyDescent="0.25">
      <c r="A128" s="140"/>
      <c r="B128" s="141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53" t="str">
        <f t="shared" si="29"/>
        <v/>
      </c>
    </row>
    <row r="129" spans="1:31" s="142" customFormat="1" x14ac:dyDescent="0.25">
      <c r="A129" s="140" t="s">
        <v>126</v>
      </c>
      <c r="B129" s="141" t="s">
        <v>127</v>
      </c>
      <c r="C129" s="143">
        <v>0</v>
      </c>
      <c r="D129" s="143">
        <v>0</v>
      </c>
      <c r="E129" s="143">
        <v>0</v>
      </c>
      <c r="F129" s="143">
        <v>3691</v>
      </c>
      <c r="G129" s="143">
        <v>0</v>
      </c>
      <c r="H129" s="143">
        <v>0</v>
      </c>
      <c r="I129" s="143">
        <v>3691</v>
      </c>
      <c r="J129" s="143">
        <v>0</v>
      </c>
      <c r="K129" s="143">
        <v>0</v>
      </c>
      <c r="L129" s="143">
        <v>3691</v>
      </c>
      <c r="M129" s="143">
        <v>0</v>
      </c>
      <c r="N129" s="143">
        <v>0</v>
      </c>
      <c r="O129" s="143">
        <v>3691</v>
      </c>
      <c r="P129" s="144">
        <f>SUM(D129:O129)</f>
        <v>14764</v>
      </c>
      <c r="Q129" s="144">
        <f t="shared" si="32"/>
        <v>14764</v>
      </c>
      <c r="R129" s="153" t="str">
        <f t="shared" si="29"/>
        <v/>
      </c>
      <c r="S129" s="145" t="s">
        <v>475</v>
      </c>
    </row>
    <row r="130" spans="1:31" s="142" customFormat="1" x14ac:dyDescent="0.25">
      <c r="A130" s="140" t="s">
        <v>277</v>
      </c>
      <c r="B130" s="141" t="s">
        <v>371</v>
      </c>
      <c r="C130" s="143">
        <v>0</v>
      </c>
      <c r="D130" s="143">
        <v>0</v>
      </c>
      <c r="E130" s="143">
        <v>0</v>
      </c>
      <c r="F130" s="143">
        <v>0</v>
      </c>
      <c r="G130" s="143">
        <v>0</v>
      </c>
      <c r="H130" s="143">
        <v>0</v>
      </c>
      <c r="I130" s="143">
        <v>0</v>
      </c>
      <c r="J130" s="143">
        <v>0</v>
      </c>
      <c r="K130" s="143">
        <v>0</v>
      </c>
      <c r="L130" s="143">
        <v>0</v>
      </c>
      <c r="M130" s="143">
        <v>0</v>
      </c>
      <c r="N130" s="143">
        <v>0</v>
      </c>
      <c r="O130" s="143">
        <v>0</v>
      </c>
      <c r="P130" s="144">
        <f>SUM(D130:O130)</f>
        <v>0</v>
      </c>
      <c r="Q130" s="144">
        <f t="shared" si="32"/>
        <v>0</v>
      </c>
      <c r="R130" s="153" t="str">
        <f t="shared" si="29"/>
        <v/>
      </c>
    </row>
    <row r="131" spans="1:31" s="142" customFormat="1" ht="15.75" thickBot="1" x14ac:dyDescent="0.3">
      <c r="A131" s="140" t="s">
        <v>134</v>
      </c>
      <c r="B131" s="141" t="s">
        <v>135</v>
      </c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>
        <f>_xlfn.IFNA(VLOOKUP(A131,'Op Budget 2016'!$C$15:$Q$53,15,FALSE),)</f>
        <v>0</v>
      </c>
      <c r="Q131" s="144" t="str">
        <f t="shared" si="32"/>
        <v/>
      </c>
      <c r="R131" s="153" t="str">
        <f t="shared" si="29"/>
        <v/>
      </c>
    </row>
    <row r="132" spans="1:31" s="145" customFormat="1" x14ac:dyDescent="0.25">
      <c r="A132" s="146" t="s">
        <v>136</v>
      </c>
      <c r="B132" s="147" t="s">
        <v>137</v>
      </c>
      <c r="C132" s="148">
        <f t="shared" ref="C132" si="33">SUM(C129:C131)</f>
        <v>0</v>
      </c>
      <c r="D132" s="148">
        <f t="shared" ref="D132:O132" si="34">SUM(D129:D131)</f>
        <v>0</v>
      </c>
      <c r="E132" s="148">
        <f>SUM(E129:E131)</f>
        <v>0</v>
      </c>
      <c r="F132" s="148">
        <f t="shared" si="34"/>
        <v>3691</v>
      </c>
      <c r="G132" s="148">
        <f t="shared" si="34"/>
        <v>0</v>
      </c>
      <c r="H132" s="148">
        <f t="shared" si="34"/>
        <v>0</v>
      </c>
      <c r="I132" s="148">
        <f t="shared" si="34"/>
        <v>3691</v>
      </c>
      <c r="J132" s="148">
        <f t="shared" si="34"/>
        <v>0</v>
      </c>
      <c r="K132" s="148">
        <f t="shared" si="34"/>
        <v>0</v>
      </c>
      <c r="L132" s="148">
        <f t="shared" si="34"/>
        <v>3691</v>
      </c>
      <c r="M132" s="148">
        <f t="shared" si="34"/>
        <v>0</v>
      </c>
      <c r="N132" s="148">
        <f t="shared" si="34"/>
        <v>0</v>
      </c>
      <c r="O132" s="148">
        <f t="shared" si="34"/>
        <v>3691</v>
      </c>
      <c r="P132" s="148">
        <f>SUM(P129:P131)</f>
        <v>14764</v>
      </c>
      <c r="Q132" s="148">
        <f t="shared" si="32"/>
        <v>14764</v>
      </c>
      <c r="R132" s="153" t="str">
        <f t="shared" si="29"/>
        <v/>
      </c>
    </row>
    <row r="133" spans="1:31" x14ac:dyDescent="0.25">
      <c r="A133" s="92"/>
      <c r="B133" s="3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 t="str">
        <f t="shared" si="32"/>
        <v/>
      </c>
      <c r="R133" s="153" t="str">
        <f t="shared" si="29"/>
        <v/>
      </c>
    </row>
    <row r="134" spans="1:31" x14ac:dyDescent="0.25">
      <c r="A134" s="92"/>
      <c r="B134" s="3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 t="str">
        <f t="shared" si="32"/>
        <v/>
      </c>
      <c r="R134" s="153" t="str">
        <f t="shared" si="29"/>
        <v/>
      </c>
    </row>
    <row r="135" spans="1:31" x14ac:dyDescent="0.25">
      <c r="A135" s="1" t="s">
        <v>130</v>
      </c>
      <c r="B135" s="5" t="s">
        <v>131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 t="str">
        <f t="shared" si="32"/>
        <v/>
      </c>
      <c r="R135" s="153" t="str">
        <f t="shared" si="29"/>
        <v/>
      </c>
    </row>
    <row r="136" spans="1:31" x14ac:dyDescent="0.25">
      <c r="A136" s="1" t="s">
        <v>132</v>
      </c>
      <c r="B136" s="5" t="s">
        <v>133</v>
      </c>
      <c r="C136" s="99">
        <v>0</v>
      </c>
      <c r="D136" s="99">
        <v>0</v>
      </c>
      <c r="E136" s="99">
        <v>0</v>
      </c>
      <c r="F136" s="99">
        <v>0</v>
      </c>
      <c r="G136" s="99">
        <v>0</v>
      </c>
      <c r="H136" s="99">
        <v>11500</v>
      </c>
      <c r="I136" s="99">
        <v>11500</v>
      </c>
      <c r="J136" s="99">
        <v>0</v>
      </c>
      <c r="K136" s="99">
        <v>0</v>
      </c>
      <c r="L136" s="99">
        <v>0</v>
      </c>
      <c r="M136" s="99">
        <v>0</v>
      </c>
      <c r="N136" s="99">
        <v>0</v>
      </c>
      <c r="O136" s="99">
        <v>0</v>
      </c>
      <c r="P136" s="98">
        <f>SUM(D136:O136)</f>
        <v>23000</v>
      </c>
      <c r="Q136" s="98">
        <f t="shared" si="32"/>
        <v>23000</v>
      </c>
      <c r="R136" s="153" t="str">
        <f t="shared" si="29"/>
        <v/>
      </c>
      <c r="S136" t="s">
        <v>533</v>
      </c>
    </row>
    <row r="137" spans="1:31" x14ac:dyDescent="0.25">
      <c r="A137" s="1" t="s">
        <v>277</v>
      </c>
      <c r="B137" s="5" t="s">
        <v>371</v>
      </c>
      <c r="C137" s="99">
        <v>0</v>
      </c>
      <c r="D137" s="99">
        <v>0</v>
      </c>
      <c r="E137" s="99">
        <v>0</v>
      </c>
      <c r="F137" s="99">
        <v>0</v>
      </c>
      <c r="G137" s="99">
        <v>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98">
        <f>SUM(D137:O137)</f>
        <v>0</v>
      </c>
      <c r="Q137" s="98">
        <f t="shared" si="32"/>
        <v>0</v>
      </c>
      <c r="R137" s="153" t="str">
        <f t="shared" si="29"/>
        <v/>
      </c>
    </row>
    <row r="138" spans="1:31" ht="15.75" thickBot="1" x14ac:dyDescent="0.3">
      <c r="A138" s="1" t="s">
        <v>134</v>
      </c>
      <c r="B138" s="5" t="s">
        <v>135</v>
      </c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>
        <f>_xlfn.IFNA(VLOOKUP(A138,'Op Budget 2016'!$C$15:$Q$53,15,FALSE),)</f>
        <v>0</v>
      </c>
      <c r="Q138" s="98" t="str">
        <f t="shared" si="32"/>
        <v/>
      </c>
      <c r="R138" s="153" t="str">
        <f t="shared" si="29"/>
        <v/>
      </c>
    </row>
    <row r="139" spans="1:31" s="91" customFormat="1" x14ac:dyDescent="0.25">
      <c r="A139" s="6" t="s">
        <v>136</v>
      </c>
      <c r="B139" s="3" t="s">
        <v>137</v>
      </c>
      <c r="C139" s="100">
        <f t="shared" ref="C139" si="35">SUM(C136:C138)</f>
        <v>0</v>
      </c>
      <c r="D139" s="100">
        <f t="shared" ref="D139:O139" si="36">SUM(D136:D138)</f>
        <v>0</v>
      </c>
      <c r="E139" s="100">
        <f t="shared" si="36"/>
        <v>0</v>
      </c>
      <c r="F139" s="100">
        <f t="shared" si="36"/>
        <v>0</v>
      </c>
      <c r="G139" s="100">
        <f t="shared" si="36"/>
        <v>0</v>
      </c>
      <c r="H139" s="100">
        <f t="shared" si="36"/>
        <v>11500</v>
      </c>
      <c r="I139" s="100">
        <f t="shared" si="36"/>
        <v>11500</v>
      </c>
      <c r="J139" s="100">
        <f t="shared" si="36"/>
        <v>0</v>
      </c>
      <c r="K139" s="100">
        <f t="shared" si="36"/>
        <v>0</v>
      </c>
      <c r="L139" s="100">
        <f t="shared" si="36"/>
        <v>0</v>
      </c>
      <c r="M139" s="100">
        <f t="shared" si="36"/>
        <v>0</v>
      </c>
      <c r="N139" s="100">
        <f t="shared" si="36"/>
        <v>0</v>
      </c>
      <c r="O139" s="100">
        <f t="shared" si="36"/>
        <v>0</v>
      </c>
      <c r="P139" s="100">
        <f>SUM(P136:P138)</f>
        <v>23000</v>
      </c>
      <c r="Q139" s="100">
        <f t="shared" si="32"/>
        <v>23000</v>
      </c>
      <c r="R139" s="153" t="str">
        <f t="shared" si="29"/>
        <v/>
      </c>
    </row>
    <row r="140" spans="1:31" ht="15.75" thickBot="1" x14ac:dyDescent="0.3">
      <c r="A140" s="1"/>
      <c r="B140" s="5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 t="str">
        <f t="shared" si="32"/>
        <v/>
      </c>
      <c r="R140" s="153" t="str">
        <f t="shared" si="29"/>
        <v/>
      </c>
    </row>
    <row r="141" spans="1:31" s="91" customFormat="1" x14ac:dyDescent="0.25">
      <c r="A141" s="6" t="s">
        <v>138</v>
      </c>
      <c r="B141" s="3" t="s">
        <v>139</v>
      </c>
      <c r="C141" s="100">
        <f>SUM(C139,C132,C126)</f>
        <v>-128089</v>
      </c>
      <c r="D141" s="100">
        <f>SUM(D139,D132,D126)</f>
        <v>29817.54</v>
      </c>
      <c r="E141" s="100">
        <f t="shared" ref="E141:P141" si="37">SUM(E139,E132,E126)</f>
        <v>-15998.61</v>
      </c>
      <c r="F141" s="100">
        <f t="shared" si="37"/>
        <v>-12307.61</v>
      </c>
      <c r="G141" s="100">
        <f t="shared" si="37"/>
        <v>29817.54</v>
      </c>
      <c r="H141" s="100">
        <f t="shared" si="37"/>
        <v>-4498.6100000000006</v>
      </c>
      <c r="I141" s="100">
        <f t="shared" si="37"/>
        <v>-807.61000000000058</v>
      </c>
      <c r="J141" s="100">
        <f t="shared" si="37"/>
        <v>29817.54</v>
      </c>
      <c r="K141" s="100">
        <f t="shared" si="37"/>
        <v>-15998.61</v>
      </c>
      <c r="L141" s="100">
        <f t="shared" si="37"/>
        <v>-12307.61</v>
      </c>
      <c r="M141" s="100">
        <f t="shared" si="37"/>
        <v>29817.54</v>
      </c>
      <c r="N141" s="100">
        <f t="shared" si="37"/>
        <v>-15998.61</v>
      </c>
      <c r="O141" s="100">
        <f t="shared" si="37"/>
        <v>-12307.61</v>
      </c>
      <c r="P141" s="100">
        <f t="shared" si="37"/>
        <v>29045.279999999999</v>
      </c>
      <c r="Q141" s="100">
        <f t="shared" si="32"/>
        <v>157134.28</v>
      </c>
      <c r="R141" s="153">
        <f t="shared" si="29"/>
        <v>-1.2267585819235063</v>
      </c>
    </row>
    <row r="142" spans="1:31" x14ac:dyDescent="0.25">
      <c r="A142" s="1"/>
      <c r="B142" s="5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 t="str">
        <f t="shared" si="32"/>
        <v/>
      </c>
      <c r="R142" s="153" t="str">
        <f t="shared" si="29"/>
        <v/>
      </c>
    </row>
    <row r="143" spans="1:31" x14ac:dyDescent="0.25">
      <c r="A143" s="1" t="s">
        <v>140</v>
      </c>
      <c r="B143" s="5" t="s">
        <v>141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 t="str">
        <f t="shared" si="32"/>
        <v/>
      </c>
      <c r="R143" s="153" t="str">
        <f t="shared" si="29"/>
        <v/>
      </c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</row>
    <row r="144" spans="1:31" x14ac:dyDescent="0.25">
      <c r="A144" s="1" t="s">
        <v>271</v>
      </c>
      <c r="B144" s="5" t="s">
        <v>370</v>
      </c>
      <c r="C144" s="98">
        <v>-84700</v>
      </c>
      <c r="D144" s="98">
        <v>-7093.23</v>
      </c>
      <c r="E144" s="98">
        <v>-7116.869999999999</v>
      </c>
      <c r="F144" s="98">
        <v>-7140.5899999999983</v>
      </c>
      <c r="G144" s="98">
        <v>-7164.3899999999994</v>
      </c>
      <c r="H144" s="98">
        <v>-7188.2799999999988</v>
      </c>
      <c r="I144" s="98">
        <v>-7212.239999999998</v>
      </c>
      <c r="J144" s="98">
        <v>-7236.2799999999988</v>
      </c>
      <c r="K144" s="98">
        <v>-7260.3999999999978</v>
      </c>
      <c r="L144" s="98">
        <v>-7284.5999999999985</v>
      </c>
      <c r="M144" s="98">
        <v>-6641.5400000000009</v>
      </c>
      <c r="N144" s="98">
        <v>-6667.8300000000017</v>
      </c>
      <c r="O144" s="98">
        <v>-6694.23</v>
      </c>
      <c r="P144" s="98">
        <f>SUM(D144:O144)</f>
        <v>-84700.479999999981</v>
      </c>
      <c r="Q144" s="98">
        <f t="shared" si="32"/>
        <v>-0.47999999998137355</v>
      </c>
      <c r="R144" s="153">
        <f t="shared" si="29"/>
        <v>5.6670602122948467E-6</v>
      </c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spans="1:19" ht="15.75" thickBot="1" x14ac:dyDescent="0.3">
      <c r="A145" s="1" t="s">
        <v>144</v>
      </c>
      <c r="B145" s="5" t="s">
        <v>145</v>
      </c>
      <c r="C145" s="99"/>
      <c r="D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8">
        <f t="shared" ref="P145" si="38">SUM(D145:O145)</f>
        <v>0</v>
      </c>
      <c r="Q145" s="98" t="str">
        <f t="shared" si="32"/>
        <v/>
      </c>
      <c r="R145" s="153" t="str">
        <f t="shared" si="29"/>
        <v/>
      </c>
      <c r="S145" s="5"/>
    </row>
    <row r="146" spans="1:19" s="91" customFormat="1" x14ac:dyDescent="0.25">
      <c r="A146" s="6" t="s">
        <v>146</v>
      </c>
      <c r="B146" s="3" t="s">
        <v>147</v>
      </c>
      <c r="C146" s="100">
        <f t="shared" ref="C146:P146" si="39">SUM(C144:C145)</f>
        <v>-84700</v>
      </c>
      <c r="D146" s="100">
        <f t="shared" si="39"/>
        <v>-7093.23</v>
      </c>
      <c r="E146" s="100">
        <f t="shared" si="39"/>
        <v>-7116.869999999999</v>
      </c>
      <c r="F146" s="100">
        <f t="shared" si="39"/>
        <v>-7140.5899999999983</v>
      </c>
      <c r="G146" s="100">
        <f t="shared" si="39"/>
        <v>-7164.3899999999994</v>
      </c>
      <c r="H146" s="100">
        <f t="shared" si="39"/>
        <v>-7188.2799999999988</v>
      </c>
      <c r="I146" s="100">
        <f t="shared" si="39"/>
        <v>-7212.239999999998</v>
      </c>
      <c r="J146" s="100">
        <f t="shared" si="39"/>
        <v>-7236.2799999999988</v>
      </c>
      <c r="K146" s="100">
        <f t="shared" si="39"/>
        <v>-7260.3999999999978</v>
      </c>
      <c r="L146" s="100">
        <f t="shared" si="39"/>
        <v>-7284.5999999999985</v>
      </c>
      <c r="M146" s="100">
        <f t="shared" si="39"/>
        <v>-6641.5400000000009</v>
      </c>
      <c r="N146" s="100">
        <f t="shared" si="39"/>
        <v>-6667.8300000000017</v>
      </c>
      <c r="O146" s="100">
        <f t="shared" si="39"/>
        <v>-6694.23</v>
      </c>
      <c r="P146" s="100">
        <f t="shared" si="39"/>
        <v>-84700.479999999981</v>
      </c>
      <c r="Q146" s="100">
        <f t="shared" si="32"/>
        <v>-0.47999999998137355</v>
      </c>
      <c r="R146" s="153">
        <f t="shared" si="29"/>
        <v>5.6670602122948467E-6</v>
      </c>
    </row>
    <row r="147" spans="1:19" x14ac:dyDescent="0.25">
      <c r="A147" s="1"/>
      <c r="B147" s="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98"/>
      <c r="Q147" s="98" t="str">
        <f t="shared" si="32"/>
        <v/>
      </c>
      <c r="R147" s="153" t="str">
        <f t="shared" si="29"/>
        <v/>
      </c>
    </row>
    <row r="148" spans="1:19" ht="15.75" thickBot="1" x14ac:dyDescent="0.3">
      <c r="A148" s="1" t="s">
        <v>148</v>
      </c>
      <c r="B148" s="5" t="s">
        <v>149</v>
      </c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 t="str">
        <f t="shared" si="32"/>
        <v/>
      </c>
      <c r="R148" s="153" t="str">
        <f t="shared" si="29"/>
        <v/>
      </c>
    </row>
    <row r="149" spans="1:19" hidden="1" outlineLevel="1" x14ac:dyDescent="0.25">
      <c r="A149" s="7" t="s">
        <v>409</v>
      </c>
      <c r="B149" s="5" t="s">
        <v>410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 t="str">
        <f t="shared" si="32"/>
        <v/>
      </c>
      <c r="R149" s="153" t="str">
        <f t="shared" si="29"/>
        <v/>
      </c>
    </row>
    <row r="150" spans="1:19" hidden="1" outlineLevel="1" x14ac:dyDescent="0.25">
      <c r="A150" s="7" t="s">
        <v>411</v>
      </c>
      <c r="B150" s="5" t="s">
        <v>412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 t="str">
        <f t="shared" si="32"/>
        <v/>
      </c>
      <c r="R150" s="153" t="str">
        <f t="shared" si="29"/>
        <v/>
      </c>
    </row>
    <row r="151" spans="1:19" hidden="1" outlineLevel="1" x14ac:dyDescent="0.25">
      <c r="A151" s="7" t="s">
        <v>150</v>
      </c>
      <c r="B151" s="5" t="s">
        <v>413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 t="str">
        <f t="shared" si="32"/>
        <v/>
      </c>
      <c r="R151" s="153" t="str">
        <f t="shared" si="29"/>
        <v/>
      </c>
    </row>
    <row r="152" spans="1:19" hidden="1" outlineLevel="1" x14ac:dyDescent="0.25">
      <c r="A152" s="7" t="s">
        <v>151</v>
      </c>
      <c r="B152" s="5" t="s">
        <v>414</v>
      </c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 t="str">
        <f t="shared" si="32"/>
        <v/>
      </c>
      <c r="R152" s="153" t="str">
        <f t="shared" si="29"/>
        <v/>
      </c>
    </row>
    <row r="153" spans="1:19" hidden="1" outlineLevel="1" x14ac:dyDescent="0.25">
      <c r="A153" s="7" t="s">
        <v>152</v>
      </c>
      <c r="B153" s="5" t="s">
        <v>415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 t="str">
        <f t="shared" si="32"/>
        <v/>
      </c>
      <c r="R153" s="153" t="str">
        <f t="shared" si="29"/>
        <v/>
      </c>
    </row>
    <row r="154" spans="1:19" hidden="1" outlineLevel="1" x14ac:dyDescent="0.25">
      <c r="A154" s="7" t="s">
        <v>416</v>
      </c>
      <c r="B154" s="5" t="s">
        <v>417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 t="str">
        <f t="shared" si="32"/>
        <v/>
      </c>
      <c r="R154" s="153" t="str">
        <f t="shared" si="29"/>
        <v/>
      </c>
    </row>
    <row r="155" spans="1:19" hidden="1" outlineLevel="1" x14ac:dyDescent="0.25">
      <c r="A155" s="7" t="s">
        <v>418</v>
      </c>
      <c r="B155" s="5" t="s">
        <v>419</v>
      </c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 t="str">
        <f t="shared" si="32"/>
        <v/>
      </c>
      <c r="R155" s="153" t="str">
        <f t="shared" si="29"/>
        <v/>
      </c>
    </row>
    <row r="156" spans="1:19" hidden="1" outlineLevel="1" x14ac:dyDescent="0.25">
      <c r="A156" s="7" t="s">
        <v>420</v>
      </c>
      <c r="B156" s="5" t="s">
        <v>421</v>
      </c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 t="str">
        <f t="shared" si="32"/>
        <v/>
      </c>
      <c r="R156" s="153" t="str">
        <f t="shared" si="29"/>
        <v/>
      </c>
    </row>
    <row r="157" spans="1:19" hidden="1" outlineLevel="1" x14ac:dyDescent="0.25">
      <c r="A157" s="7" t="s">
        <v>422</v>
      </c>
      <c r="B157" s="5" t="s">
        <v>423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 t="str">
        <f t="shared" si="32"/>
        <v/>
      </c>
      <c r="R157" s="153" t="str">
        <f t="shared" si="29"/>
        <v/>
      </c>
    </row>
    <row r="158" spans="1:19" hidden="1" outlineLevel="1" x14ac:dyDescent="0.25">
      <c r="A158" s="7" t="s">
        <v>424</v>
      </c>
      <c r="B158" s="5" t="s">
        <v>425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 t="str">
        <f t="shared" si="32"/>
        <v/>
      </c>
      <c r="R158" s="153" t="str">
        <f t="shared" si="29"/>
        <v/>
      </c>
    </row>
    <row r="159" spans="1:19" hidden="1" outlineLevel="1" x14ac:dyDescent="0.25">
      <c r="A159" s="7" t="s">
        <v>426</v>
      </c>
      <c r="B159" s="5" t="s">
        <v>427</v>
      </c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 t="str">
        <f t="shared" si="32"/>
        <v/>
      </c>
      <c r="R159" s="153" t="str">
        <f t="shared" si="29"/>
        <v/>
      </c>
    </row>
    <row r="160" spans="1:19" hidden="1" outlineLevel="1" x14ac:dyDescent="0.25">
      <c r="A160" s="7" t="s">
        <v>428</v>
      </c>
      <c r="B160" s="5" t="s">
        <v>429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 t="str">
        <f t="shared" si="32"/>
        <v/>
      </c>
      <c r="R160" s="153" t="str">
        <f t="shared" si="29"/>
        <v/>
      </c>
    </row>
    <row r="161" spans="1:28" hidden="1" outlineLevel="1" x14ac:dyDescent="0.25">
      <c r="A161" s="7" t="s">
        <v>430</v>
      </c>
      <c r="B161" s="5" t="s">
        <v>431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 t="str">
        <f t="shared" si="32"/>
        <v/>
      </c>
      <c r="R161" s="153" t="str">
        <f t="shared" si="29"/>
        <v/>
      </c>
    </row>
    <row r="162" spans="1:28" hidden="1" outlineLevel="1" x14ac:dyDescent="0.25">
      <c r="A162" s="7" t="s">
        <v>432</v>
      </c>
      <c r="B162" s="5" t="s">
        <v>433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 t="str">
        <f t="shared" si="32"/>
        <v/>
      </c>
      <c r="R162" s="153" t="str">
        <f t="shared" si="29"/>
        <v/>
      </c>
    </row>
    <row r="163" spans="1:28" hidden="1" outlineLevel="1" x14ac:dyDescent="0.25">
      <c r="A163" s="7" t="s">
        <v>434</v>
      </c>
      <c r="B163" s="5" t="s">
        <v>435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 t="str">
        <f t="shared" si="32"/>
        <v/>
      </c>
      <c r="R163" s="153" t="str">
        <f t="shared" si="29"/>
        <v/>
      </c>
    </row>
    <row r="164" spans="1:28" hidden="1" outlineLevel="1" x14ac:dyDescent="0.25">
      <c r="A164" s="7" t="s">
        <v>436</v>
      </c>
      <c r="B164" s="5" t="s">
        <v>437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 t="str">
        <f t="shared" si="32"/>
        <v/>
      </c>
      <c r="R164" s="153" t="str">
        <f t="shared" si="29"/>
        <v/>
      </c>
    </row>
    <row r="165" spans="1:28" hidden="1" outlineLevel="1" x14ac:dyDescent="0.25">
      <c r="A165" s="7" t="s">
        <v>438</v>
      </c>
      <c r="B165" s="5" t="s">
        <v>439</v>
      </c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 t="str">
        <f t="shared" si="32"/>
        <v/>
      </c>
      <c r="R165" s="153" t="str">
        <f t="shared" si="29"/>
        <v/>
      </c>
    </row>
    <row r="166" spans="1:28" ht="15.75" hidden="1" outlineLevel="1" thickBot="1" x14ac:dyDescent="0.3">
      <c r="A166" s="7" t="s">
        <v>440</v>
      </c>
      <c r="B166" s="5" t="s">
        <v>441</v>
      </c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 t="str">
        <f t="shared" si="32"/>
        <v/>
      </c>
      <c r="R166" s="153" t="str">
        <f t="shared" si="29"/>
        <v/>
      </c>
    </row>
    <row r="167" spans="1:28" s="91" customFormat="1" collapsed="1" x14ac:dyDescent="0.25">
      <c r="A167" s="6" t="s">
        <v>153</v>
      </c>
      <c r="B167" s="3" t="s">
        <v>154</v>
      </c>
      <c r="C167" s="100">
        <f t="shared" ref="C167:P167" si="40">SUM(C149:C166)</f>
        <v>0</v>
      </c>
      <c r="D167" s="100">
        <f t="shared" si="40"/>
        <v>0</v>
      </c>
      <c r="E167" s="100">
        <f t="shared" si="40"/>
        <v>0</v>
      </c>
      <c r="F167" s="100">
        <f t="shared" si="40"/>
        <v>0</v>
      </c>
      <c r="G167" s="100">
        <f t="shared" si="40"/>
        <v>0</v>
      </c>
      <c r="H167" s="100">
        <f t="shared" si="40"/>
        <v>0</v>
      </c>
      <c r="I167" s="100">
        <f t="shared" si="40"/>
        <v>0</v>
      </c>
      <c r="J167" s="100">
        <f t="shared" si="40"/>
        <v>0</v>
      </c>
      <c r="K167" s="100">
        <f t="shared" si="40"/>
        <v>0</v>
      </c>
      <c r="L167" s="100">
        <f t="shared" si="40"/>
        <v>0</v>
      </c>
      <c r="M167" s="100">
        <f t="shared" si="40"/>
        <v>0</v>
      </c>
      <c r="N167" s="100">
        <f t="shared" si="40"/>
        <v>0</v>
      </c>
      <c r="O167" s="100">
        <f t="shared" si="40"/>
        <v>0</v>
      </c>
      <c r="P167" s="100">
        <f t="shared" si="40"/>
        <v>0</v>
      </c>
      <c r="Q167" s="100">
        <f t="shared" si="32"/>
        <v>0</v>
      </c>
      <c r="R167" s="153" t="str">
        <f t="shared" si="29"/>
        <v/>
      </c>
    </row>
    <row r="168" spans="1:28" x14ac:dyDescent="0.25">
      <c r="A168" s="1"/>
      <c r="B168" s="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 t="str">
        <f t="shared" si="32"/>
        <v/>
      </c>
      <c r="R168" s="153" t="str">
        <f t="shared" si="29"/>
        <v/>
      </c>
    </row>
    <row r="169" spans="1:28" x14ac:dyDescent="0.25">
      <c r="A169" s="1" t="s">
        <v>155</v>
      </c>
      <c r="B169" s="5" t="s">
        <v>156</v>
      </c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 t="str">
        <f t="shared" si="32"/>
        <v/>
      </c>
      <c r="R169" s="153" t="str">
        <f t="shared" si="29"/>
        <v/>
      </c>
    </row>
    <row r="170" spans="1:28" outlineLevel="1" x14ac:dyDescent="0.25">
      <c r="A170" s="156" t="s">
        <v>502</v>
      </c>
      <c r="B170" s="5" t="s">
        <v>503</v>
      </c>
      <c r="C170" s="98">
        <v>-25411.200000000001</v>
      </c>
      <c r="D170" s="98">
        <f>VLOOKUP($A$170,Distributions!$A$4:$F$17,6,FALSE)</f>
        <v>-2117.6</v>
      </c>
      <c r="E170" s="98">
        <f>VLOOKUP($A$170,Distributions!$A$4:$F$17,6,FALSE)</f>
        <v>-2117.6</v>
      </c>
      <c r="F170" s="98">
        <f>VLOOKUP($A$170,Distributions!$A$4:$F$17,6,FALSE)</f>
        <v>-2117.6</v>
      </c>
      <c r="G170" s="98">
        <f>VLOOKUP($A$170,Distributions!$A$4:$F$17,6,FALSE)</f>
        <v>-2117.6</v>
      </c>
      <c r="H170" s="98">
        <f>VLOOKUP($A$170,Distributions!$A$4:$F$17,6,FALSE)</f>
        <v>-2117.6</v>
      </c>
      <c r="I170" s="98">
        <f>VLOOKUP($A$170,Distributions!$A$4:$F$17,6,FALSE)</f>
        <v>-2117.6</v>
      </c>
      <c r="J170" s="98">
        <f>VLOOKUP($A$170,Distributions!$A$4:$F$17,6,FALSE)</f>
        <v>-2117.6</v>
      </c>
      <c r="K170" s="98">
        <f>VLOOKUP($A$170,Distributions!$A$4:$F$17,6,FALSE)</f>
        <v>-2117.6</v>
      </c>
      <c r="L170" s="98">
        <f>VLOOKUP($A$170,Distributions!$A$4:$F$17,6,FALSE)</f>
        <v>-2117.6</v>
      </c>
      <c r="M170" s="98">
        <f>VLOOKUP($A$170,Distributions!$A$4:$F$17,6,FALSE)</f>
        <v>-2117.6</v>
      </c>
      <c r="N170" s="98">
        <f>VLOOKUP($A$170,Distributions!$A$4:$F$17,6,FALSE)</f>
        <v>-2117.6</v>
      </c>
      <c r="O170" s="98">
        <f>VLOOKUP($A$170,Distributions!$A$4:$F$17,6,FALSE)</f>
        <v>-2117.6</v>
      </c>
      <c r="P170" s="98">
        <f t="shared" ref="P170:P183" si="41">SUM(D170:O170)</f>
        <v>-25411.199999999993</v>
      </c>
      <c r="Q170" s="98">
        <f t="shared" si="32"/>
        <v>7.2759576141834259E-12</v>
      </c>
      <c r="R170" s="153">
        <f t="shared" si="29"/>
        <v>-2.863287689752324E-16</v>
      </c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</row>
    <row r="171" spans="1:28" outlineLevel="1" x14ac:dyDescent="0.25">
      <c r="A171" s="156" t="s">
        <v>482</v>
      </c>
      <c r="B171" s="5" t="s">
        <v>483</v>
      </c>
      <c r="C171" s="98">
        <v>-16941.599999999999</v>
      </c>
      <c r="D171" s="98">
        <f>VLOOKUP($A$171,Distributions!$A$4:$F$17,6,FALSE)</f>
        <v>-1411.8</v>
      </c>
      <c r="E171" s="98">
        <f>VLOOKUP($A$171,Distributions!$A$4:$F$17,6,FALSE)</f>
        <v>-1411.8</v>
      </c>
      <c r="F171" s="98">
        <f>VLOOKUP($A$171,Distributions!$A$4:$F$17,6,FALSE)</f>
        <v>-1411.8</v>
      </c>
      <c r="G171" s="98">
        <f>VLOOKUP($A$171,Distributions!$A$4:$F$17,6,FALSE)</f>
        <v>-1411.8</v>
      </c>
      <c r="H171" s="98">
        <f>VLOOKUP($A$171,Distributions!$A$4:$F$17,6,FALSE)</f>
        <v>-1411.8</v>
      </c>
      <c r="I171" s="98">
        <f>VLOOKUP($A$171,Distributions!$A$4:$F$17,6,FALSE)</f>
        <v>-1411.8</v>
      </c>
      <c r="J171" s="98">
        <f>VLOOKUP($A$171,Distributions!$A$4:$F$17,6,FALSE)</f>
        <v>-1411.8</v>
      </c>
      <c r="K171" s="98">
        <f>VLOOKUP($A$171,Distributions!$A$4:$F$17,6,FALSE)</f>
        <v>-1411.8</v>
      </c>
      <c r="L171" s="98">
        <f>VLOOKUP($A$171,Distributions!$A$4:$F$17,6,FALSE)</f>
        <v>-1411.8</v>
      </c>
      <c r="M171" s="98">
        <f>VLOOKUP($A$171,Distributions!$A$4:$F$17,6,FALSE)</f>
        <v>-1411.8</v>
      </c>
      <c r="N171" s="98">
        <f>VLOOKUP($A$171,Distributions!$A$4:$F$17,6,FALSE)</f>
        <v>-1411.8</v>
      </c>
      <c r="O171" s="98">
        <f>VLOOKUP($A$171,Distributions!$A$4:$F$17,6,FALSE)</f>
        <v>-1411.8</v>
      </c>
      <c r="P171" s="98">
        <f t="shared" si="41"/>
        <v>-16941.599999999995</v>
      </c>
      <c r="Q171" s="98">
        <f t="shared" si="32"/>
        <v>3.637978807091713E-12</v>
      </c>
      <c r="R171" s="153">
        <f t="shared" si="29"/>
        <v>-2.1473643617437039E-16</v>
      </c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</row>
    <row r="172" spans="1:28" outlineLevel="1" x14ac:dyDescent="0.25">
      <c r="A172" s="156" t="s">
        <v>504</v>
      </c>
      <c r="B172" s="5" t="s">
        <v>505</v>
      </c>
      <c r="C172" s="98">
        <v>-16941.599999999999</v>
      </c>
      <c r="D172" s="98">
        <f>VLOOKUP($A$172,Distributions!$A$4:$F$17,6,FALSE)</f>
        <v>-1411.8</v>
      </c>
      <c r="E172" s="98">
        <f>VLOOKUP($A$172,Distributions!$A$4:$F$17,6,FALSE)</f>
        <v>-1411.8</v>
      </c>
      <c r="F172" s="98">
        <f>VLOOKUP($A$172,Distributions!$A$4:$F$17,6,FALSE)</f>
        <v>-1411.8</v>
      </c>
      <c r="G172" s="98">
        <f>VLOOKUP($A$172,Distributions!$A$4:$F$17,6,FALSE)</f>
        <v>-1411.8</v>
      </c>
      <c r="H172" s="98">
        <f>VLOOKUP($A$172,Distributions!$A$4:$F$17,6,FALSE)</f>
        <v>-1411.8</v>
      </c>
      <c r="I172" s="98">
        <f>VLOOKUP($A$172,Distributions!$A$4:$F$17,6,FALSE)</f>
        <v>-1411.8</v>
      </c>
      <c r="J172" s="98">
        <f>VLOOKUP($A$172,Distributions!$A$4:$F$17,6,FALSE)</f>
        <v>-1411.8</v>
      </c>
      <c r="K172" s="98">
        <f>VLOOKUP($A$172,Distributions!$A$4:$F$17,6,FALSE)</f>
        <v>-1411.8</v>
      </c>
      <c r="L172" s="98">
        <f>VLOOKUP($A$172,Distributions!$A$4:$F$17,6,FALSE)</f>
        <v>-1411.8</v>
      </c>
      <c r="M172" s="98">
        <f>VLOOKUP($A$172,Distributions!$A$4:$F$17,6,FALSE)</f>
        <v>-1411.8</v>
      </c>
      <c r="N172" s="98">
        <f>VLOOKUP($A$172,Distributions!$A$4:$F$17,6,FALSE)</f>
        <v>-1411.8</v>
      </c>
      <c r="O172" s="98">
        <f>VLOOKUP($A$172,Distributions!$A$4:$F$17,6,FALSE)</f>
        <v>-1411.8</v>
      </c>
      <c r="P172" s="98">
        <f t="shared" si="41"/>
        <v>-16941.599999999995</v>
      </c>
      <c r="Q172" s="98">
        <f t="shared" si="32"/>
        <v>3.637978807091713E-12</v>
      </c>
      <c r="R172" s="153">
        <f t="shared" si="29"/>
        <v>-2.1473643617437039E-16</v>
      </c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</row>
    <row r="173" spans="1:28" outlineLevel="1" x14ac:dyDescent="0.25">
      <c r="A173" s="156" t="s">
        <v>506</v>
      </c>
      <c r="B173" s="5" t="s">
        <v>507</v>
      </c>
      <c r="C173" s="98">
        <v>-16941.599999999999</v>
      </c>
      <c r="D173" s="98">
        <f>VLOOKUP($A$173,Distributions!$A$4:$F$17,6,FALSE)</f>
        <v>-1411.8</v>
      </c>
      <c r="E173" s="98">
        <f>VLOOKUP($A$173,Distributions!$A$4:$F$17,6,FALSE)</f>
        <v>-1411.8</v>
      </c>
      <c r="F173" s="98">
        <f>VLOOKUP($A$173,Distributions!$A$4:$F$17,6,FALSE)</f>
        <v>-1411.8</v>
      </c>
      <c r="G173" s="98">
        <f>VLOOKUP($A$173,Distributions!$A$4:$F$17,6,FALSE)</f>
        <v>-1411.8</v>
      </c>
      <c r="H173" s="98">
        <f>VLOOKUP($A$173,Distributions!$A$4:$F$17,6,FALSE)</f>
        <v>-1411.8</v>
      </c>
      <c r="I173" s="98">
        <f>VLOOKUP($A$173,Distributions!$A$4:$F$17,6,FALSE)</f>
        <v>-1411.8</v>
      </c>
      <c r="J173" s="98">
        <f>VLOOKUP($A$173,Distributions!$A$4:$F$17,6,FALSE)</f>
        <v>-1411.8</v>
      </c>
      <c r="K173" s="98">
        <f>VLOOKUP($A$173,Distributions!$A$4:$F$17,6,FALSE)</f>
        <v>-1411.8</v>
      </c>
      <c r="L173" s="98">
        <f>VLOOKUP($A$173,Distributions!$A$4:$F$17,6,FALSE)</f>
        <v>-1411.8</v>
      </c>
      <c r="M173" s="98">
        <f>VLOOKUP($A$173,Distributions!$A$4:$F$17,6,FALSE)</f>
        <v>-1411.8</v>
      </c>
      <c r="N173" s="98">
        <f>VLOOKUP($A$173,Distributions!$A$4:$F$17,6,FALSE)</f>
        <v>-1411.8</v>
      </c>
      <c r="O173" s="98">
        <f>VLOOKUP($A$173,Distributions!$A$4:$F$17,6,FALSE)</f>
        <v>-1411.8</v>
      </c>
      <c r="P173" s="98">
        <f t="shared" si="41"/>
        <v>-16941.599999999995</v>
      </c>
      <c r="Q173" s="98">
        <f t="shared" si="32"/>
        <v>3.637978807091713E-12</v>
      </c>
      <c r="R173" s="153">
        <f t="shared" si="29"/>
        <v>-2.1473643617437039E-16</v>
      </c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</row>
    <row r="174" spans="1:28" outlineLevel="1" x14ac:dyDescent="0.25">
      <c r="A174" s="156" t="s">
        <v>508</v>
      </c>
      <c r="B174" s="5" t="s">
        <v>509</v>
      </c>
      <c r="C174" s="98">
        <v>-16941.599999999999</v>
      </c>
      <c r="D174" s="98">
        <f>VLOOKUP($A$174,Distributions!$A$4:$F$17,6,FALSE)</f>
        <v>-1411.8</v>
      </c>
      <c r="E174" s="98">
        <f>VLOOKUP($A$174,Distributions!$A$4:$F$17,6,FALSE)</f>
        <v>-1411.8</v>
      </c>
      <c r="F174" s="98">
        <f>VLOOKUP($A$174,Distributions!$A$4:$F$17,6,FALSE)</f>
        <v>-1411.8</v>
      </c>
      <c r="G174" s="98">
        <f>VLOOKUP($A$174,Distributions!$A$4:$F$17,6,FALSE)</f>
        <v>-1411.8</v>
      </c>
      <c r="H174" s="98">
        <f>VLOOKUP($A$174,Distributions!$A$4:$F$17,6,FALSE)</f>
        <v>-1411.8</v>
      </c>
      <c r="I174" s="98">
        <f>VLOOKUP($A$174,Distributions!$A$4:$F$17,6,FALSE)</f>
        <v>-1411.8</v>
      </c>
      <c r="J174" s="98">
        <f>VLOOKUP($A$174,Distributions!$A$4:$F$17,6,FALSE)</f>
        <v>-1411.8</v>
      </c>
      <c r="K174" s="98">
        <f>VLOOKUP($A$174,Distributions!$A$4:$F$17,6,FALSE)</f>
        <v>-1411.8</v>
      </c>
      <c r="L174" s="98">
        <f>VLOOKUP($A$174,Distributions!$A$4:$F$17,6,FALSE)</f>
        <v>-1411.8</v>
      </c>
      <c r="M174" s="98">
        <f>VLOOKUP($A$174,Distributions!$A$4:$F$17,6,FALSE)</f>
        <v>-1411.8</v>
      </c>
      <c r="N174" s="98">
        <f>VLOOKUP($A$174,Distributions!$A$4:$F$17,6,FALSE)</f>
        <v>-1411.8</v>
      </c>
      <c r="O174" s="98">
        <f>VLOOKUP($A$174,Distributions!$A$4:$F$17,6,FALSE)</f>
        <v>-1411.8</v>
      </c>
      <c r="P174" s="98">
        <f t="shared" si="41"/>
        <v>-16941.599999999995</v>
      </c>
      <c r="Q174" s="98">
        <f t="shared" si="32"/>
        <v>3.637978807091713E-12</v>
      </c>
      <c r="R174" s="153">
        <f t="shared" si="29"/>
        <v>-2.1473643617437039E-16</v>
      </c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</row>
    <row r="175" spans="1:28" outlineLevel="1" x14ac:dyDescent="0.25">
      <c r="A175" s="166" t="s">
        <v>157</v>
      </c>
      <c r="B175" s="5" t="s">
        <v>484</v>
      </c>
      <c r="C175" s="98">
        <v>-66352.800000000003</v>
      </c>
      <c r="D175" s="98">
        <f>VLOOKUP($A$175,Distributions!$A$4:$F$17,6,FALSE)</f>
        <v>-5529.4</v>
      </c>
      <c r="E175" s="98">
        <f>VLOOKUP($A$175,Distributions!$A$4:$F$17,6,FALSE)</f>
        <v>-5529.4</v>
      </c>
      <c r="F175" s="98">
        <f>VLOOKUP($A$175,Distributions!$A$4:$F$17,6,FALSE)</f>
        <v>-5529.4</v>
      </c>
      <c r="G175" s="98">
        <f>VLOOKUP($A$175,Distributions!$A$4:$F$17,6,FALSE)</f>
        <v>-5529.4</v>
      </c>
      <c r="H175" s="98">
        <f>VLOOKUP($A$175,Distributions!$A$4:$F$17,6,FALSE)</f>
        <v>-5529.4</v>
      </c>
      <c r="I175" s="98">
        <f>VLOOKUP($A$175,Distributions!$A$4:$F$17,6,FALSE)</f>
        <v>-5529.4</v>
      </c>
      <c r="J175" s="98">
        <f>VLOOKUP($A$175,Distributions!$A$4:$F$17,6,FALSE)</f>
        <v>-5529.4</v>
      </c>
      <c r="K175" s="98">
        <f>VLOOKUP($A$175,Distributions!$A$4:$F$17,6,FALSE)</f>
        <v>-5529.4</v>
      </c>
      <c r="L175" s="98">
        <f>VLOOKUP($A$175,Distributions!$A$4:$F$17,6,FALSE)</f>
        <v>-5529.4</v>
      </c>
      <c r="M175" s="98">
        <f>VLOOKUP($A$175,Distributions!$A$4:$F$17,6,FALSE)</f>
        <v>-5529.4</v>
      </c>
      <c r="N175" s="98">
        <f>VLOOKUP($A$175,Distributions!$A$4:$F$17,6,FALSE)</f>
        <v>-5529.4</v>
      </c>
      <c r="O175" s="98">
        <f>VLOOKUP($A$175,Distributions!$A$4:$F$17,6,FALSE)</f>
        <v>-5529.4</v>
      </c>
      <c r="P175" s="98">
        <f t="shared" si="41"/>
        <v>-66352.800000000003</v>
      </c>
      <c r="Q175" s="98">
        <f t="shared" si="32"/>
        <v>0</v>
      </c>
      <c r="R175" s="153">
        <f t="shared" si="29"/>
        <v>0</v>
      </c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</row>
    <row r="176" spans="1:28" outlineLevel="1" x14ac:dyDescent="0.25">
      <c r="A176" s="166" t="s">
        <v>510</v>
      </c>
      <c r="B176" s="5" t="s">
        <v>511</v>
      </c>
      <c r="C176" s="98">
        <v>-8472</v>
      </c>
      <c r="D176" s="98">
        <f>VLOOKUP($A$176,Distributions!$A$4:$F$17,6,FALSE)</f>
        <v>-706</v>
      </c>
      <c r="E176" s="98">
        <f>VLOOKUP($A$176,Distributions!$A$4:$F$17,6,FALSE)</f>
        <v>-706</v>
      </c>
      <c r="F176" s="98">
        <f>VLOOKUP($A$176,Distributions!$A$4:$F$17,6,FALSE)</f>
        <v>-706</v>
      </c>
      <c r="G176" s="98">
        <f>VLOOKUP($A$176,Distributions!$A$4:$F$17,6,FALSE)</f>
        <v>-706</v>
      </c>
      <c r="H176" s="98">
        <f>VLOOKUP($A$176,Distributions!$A$4:$F$17,6,FALSE)</f>
        <v>-706</v>
      </c>
      <c r="I176" s="98">
        <f>VLOOKUP($A$176,Distributions!$A$4:$F$17,6,FALSE)</f>
        <v>-706</v>
      </c>
      <c r="J176" s="98">
        <f>VLOOKUP($A$176,Distributions!$A$4:$F$17,6,FALSE)</f>
        <v>-706</v>
      </c>
      <c r="K176" s="98">
        <f>VLOOKUP($A$176,Distributions!$A$4:$F$17,6,FALSE)</f>
        <v>-706</v>
      </c>
      <c r="L176" s="98">
        <f>VLOOKUP($A$176,Distributions!$A$4:$F$17,6,FALSE)</f>
        <v>-706</v>
      </c>
      <c r="M176" s="98">
        <f>VLOOKUP($A$176,Distributions!$A$4:$F$17,6,FALSE)</f>
        <v>-706</v>
      </c>
      <c r="N176" s="98">
        <f>VLOOKUP($A$176,Distributions!$A$4:$F$17,6,FALSE)</f>
        <v>-706</v>
      </c>
      <c r="O176" s="98">
        <f>VLOOKUP($A$176,Distributions!$A$4:$F$17,6,FALSE)</f>
        <v>-706</v>
      </c>
      <c r="P176" s="98">
        <f t="shared" si="41"/>
        <v>-8472</v>
      </c>
      <c r="Q176" s="98">
        <f t="shared" si="32"/>
        <v>0</v>
      </c>
      <c r="R176" s="153">
        <f t="shared" si="29"/>
        <v>0</v>
      </c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</row>
    <row r="177" spans="1:28" outlineLevel="1" x14ac:dyDescent="0.25">
      <c r="A177" s="166" t="s">
        <v>512</v>
      </c>
      <c r="B177" s="5" t="s">
        <v>513</v>
      </c>
      <c r="C177" s="98">
        <v>-8472</v>
      </c>
      <c r="D177" s="98">
        <f>VLOOKUP($A$177,Distributions!$A$4:$F$17,6,FALSE)</f>
        <v>-706</v>
      </c>
      <c r="E177" s="98">
        <f>VLOOKUP($A$177,Distributions!$A$4:$F$17,6,FALSE)</f>
        <v>-706</v>
      </c>
      <c r="F177" s="98">
        <f>VLOOKUP($A$177,Distributions!$A$4:$F$17,6,FALSE)</f>
        <v>-706</v>
      </c>
      <c r="G177" s="98">
        <f>VLOOKUP($A$177,Distributions!$A$4:$F$17,6,FALSE)</f>
        <v>-706</v>
      </c>
      <c r="H177" s="98">
        <f>VLOOKUP($A$177,Distributions!$A$4:$F$17,6,FALSE)</f>
        <v>-706</v>
      </c>
      <c r="I177" s="98">
        <f>VLOOKUP($A$177,Distributions!$A$4:$F$17,6,FALSE)</f>
        <v>-706</v>
      </c>
      <c r="J177" s="98">
        <f>VLOOKUP($A$177,Distributions!$A$4:$F$17,6,FALSE)</f>
        <v>-706</v>
      </c>
      <c r="K177" s="98">
        <f>VLOOKUP($A$177,Distributions!$A$4:$F$17,6,FALSE)</f>
        <v>-706</v>
      </c>
      <c r="L177" s="98">
        <f>VLOOKUP($A$177,Distributions!$A$4:$F$17,6,FALSE)</f>
        <v>-706</v>
      </c>
      <c r="M177" s="98">
        <f>VLOOKUP($A$177,Distributions!$A$4:$F$17,6,FALSE)</f>
        <v>-706</v>
      </c>
      <c r="N177" s="98">
        <f>VLOOKUP($A$177,Distributions!$A$4:$F$17,6,FALSE)</f>
        <v>-706</v>
      </c>
      <c r="O177" s="98">
        <f>VLOOKUP($A$177,Distributions!$A$4:$F$17,6,FALSE)</f>
        <v>-706</v>
      </c>
      <c r="P177" s="98">
        <f t="shared" si="41"/>
        <v>-8472</v>
      </c>
      <c r="Q177" s="98">
        <f t="shared" si="32"/>
        <v>0</v>
      </c>
      <c r="R177" s="153">
        <f t="shared" si="29"/>
        <v>0</v>
      </c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</row>
    <row r="178" spans="1:28" outlineLevel="1" x14ac:dyDescent="0.25">
      <c r="A178" s="166" t="s">
        <v>514</v>
      </c>
      <c r="B178" s="5" t="s">
        <v>515</v>
      </c>
      <c r="C178" s="98">
        <v>-8469.6</v>
      </c>
      <c r="D178" s="98">
        <f>VLOOKUP($A$178,Distributions!$A$4:$F$17,6,FALSE)</f>
        <v>-705.80000000000007</v>
      </c>
      <c r="E178" s="98">
        <f>VLOOKUP($A$178,Distributions!$A$4:$F$17,6,FALSE)</f>
        <v>-705.80000000000007</v>
      </c>
      <c r="F178" s="98">
        <f>VLOOKUP($A$178,Distributions!$A$4:$F$17,6,FALSE)</f>
        <v>-705.80000000000007</v>
      </c>
      <c r="G178" s="98">
        <f>VLOOKUP($A$178,Distributions!$A$4:$F$17,6,FALSE)</f>
        <v>-705.80000000000007</v>
      </c>
      <c r="H178" s="98">
        <f>VLOOKUP($A$178,Distributions!$A$4:$F$17,6,FALSE)</f>
        <v>-705.80000000000007</v>
      </c>
      <c r="I178" s="98">
        <f>VLOOKUP($A$178,Distributions!$A$4:$F$17,6,FALSE)</f>
        <v>-705.80000000000007</v>
      </c>
      <c r="J178" s="98">
        <f>VLOOKUP($A$178,Distributions!$A$4:$F$17,6,FALSE)</f>
        <v>-705.80000000000007</v>
      </c>
      <c r="K178" s="98">
        <f>VLOOKUP($A$178,Distributions!$A$4:$F$17,6,FALSE)</f>
        <v>-705.80000000000007</v>
      </c>
      <c r="L178" s="98">
        <f>VLOOKUP($A$178,Distributions!$A$4:$F$17,6,FALSE)</f>
        <v>-705.80000000000007</v>
      </c>
      <c r="M178" s="98">
        <f>VLOOKUP($A$178,Distributions!$A$4:$F$17,6,FALSE)</f>
        <v>-705.80000000000007</v>
      </c>
      <c r="N178" s="98">
        <f>VLOOKUP($A$178,Distributions!$A$4:$F$17,6,FALSE)</f>
        <v>-705.80000000000007</v>
      </c>
      <c r="O178" s="98">
        <f>VLOOKUP($A$178,Distributions!$A$4:$F$17,6,FALSE)</f>
        <v>-705.80000000000007</v>
      </c>
      <c r="P178" s="98">
        <f t="shared" si="41"/>
        <v>-8469.6</v>
      </c>
      <c r="Q178" s="98">
        <f t="shared" si="32"/>
        <v>0</v>
      </c>
      <c r="R178" s="153">
        <f t="shared" si="29"/>
        <v>0</v>
      </c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</row>
    <row r="179" spans="1:28" outlineLevel="1" x14ac:dyDescent="0.25">
      <c r="A179" s="166" t="s">
        <v>516</v>
      </c>
      <c r="B179" s="5" t="s">
        <v>517</v>
      </c>
      <c r="C179" s="98">
        <v>-4236</v>
      </c>
      <c r="D179" s="98">
        <f>VLOOKUP($A$179,Distributions!$A$4:$F$17,6,FALSE)</f>
        <v>-353</v>
      </c>
      <c r="E179" s="98">
        <f>VLOOKUP($A$179,Distributions!$A$4:$F$17,6,FALSE)</f>
        <v>-353</v>
      </c>
      <c r="F179" s="98">
        <f>VLOOKUP($A$179,Distributions!$A$4:$F$17,6,FALSE)</f>
        <v>-353</v>
      </c>
      <c r="G179" s="98">
        <f>VLOOKUP($A$179,Distributions!$A$4:$F$17,6,FALSE)</f>
        <v>-353</v>
      </c>
      <c r="H179" s="98">
        <f>VLOOKUP($A$179,Distributions!$A$4:$F$17,6,FALSE)</f>
        <v>-353</v>
      </c>
      <c r="I179" s="98">
        <f>VLOOKUP($A$179,Distributions!$A$4:$F$17,6,FALSE)</f>
        <v>-353</v>
      </c>
      <c r="J179" s="98">
        <f>VLOOKUP($A$179,Distributions!$A$4:$F$17,6,FALSE)</f>
        <v>-353</v>
      </c>
      <c r="K179" s="98">
        <f>VLOOKUP($A$179,Distributions!$A$4:$F$17,6,FALSE)</f>
        <v>-353</v>
      </c>
      <c r="L179" s="98">
        <f>VLOOKUP($A$179,Distributions!$A$4:$F$17,6,FALSE)</f>
        <v>-353</v>
      </c>
      <c r="M179" s="98">
        <f>VLOOKUP($A$179,Distributions!$A$4:$F$17,6,FALSE)</f>
        <v>-353</v>
      </c>
      <c r="N179" s="98">
        <f>VLOOKUP($A$179,Distributions!$A$4:$F$17,6,FALSE)</f>
        <v>-353</v>
      </c>
      <c r="O179" s="98">
        <f>VLOOKUP($A$179,Distributions!$A$4:$F$17,6,FALSE)</f>
        <v>-353</v>
      </c>
      <c r="P179" s="98">
        <f t="shared" si="41"/>
        <v>-4236</v>
      </c>
      <c r="Q179" s="98">
        <f t="shared" si="32"/>
        <v>0</v>
      </c>
      <c r="R179" s="153">
        <f t="shared" si="29"/>
        <v>0</v>
      </c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</row>
    <row r="180" spans="1:28" outlineLevel="1" x14ac:dyDescent="0.25">
      <c r="A180" s="166" t="s">
        <v>518</v>
      </c>
      <c r="B180" s="5" t="s">
        <v>519</v>
      </c>
      <c r="C180" s="98">
        <v>-8469.6</v>
      </c>
      <c r="D180" s="98">
        <f>VLOOKUP($A$180,Distributions!$A$4:$F$17,6,FALSE)</f>
        <v>-705.80000000000007</v>
      </c>
      <c r="E180" s="98">
        <f>VLOOKUP($A$180,Distributions!$A$4:$F$17,6,FALSE)</f>
        <v>-705.80000000000007</v>
      </c>
      <c r="F180" s="98">
        <f>VLOOKUP($A$180,Distributions!$A$4:$F$17,6,FALSE)</f>
        <v>-705.80000000000007</v>
      </c>
      <c r="G180" s="98">
        <f>VLOOKUP($A$180,Distributions!$A$4:$F$17,6,FALSE)</f>
        <v>-705.80000000000007</v>
      </c>
      <c r="H180" s="98">
        <f>VLOOKUP($A$180,Distributions!$A$4:$F$17,6,FALSE)</f>
        <v>-705.80000000000007</v>
      </c>
      <c r="I180" s="98">
        <f>VLOOKUP($A$180,Distributions!$A$4:$F$17,6,FALSE)</f>
        <v>-705.80000000000007</v>
      </c>
      <c r="J180" s="98">
        <f>VLOOKUP($A$180,Distributions!$A$4:$F$17,6,FALSE)</f>
        <v>-705.80000000000007</v>
      </c>
      <c r="K180" s="98">
        <f>VLOOKUP($A$180,Distributions!$A$4:$F$17,6,FALSE)</f>
        <v>-705.80000000000007</v>
      </c>
      <c r="L180" s="98">
        <f>VLOOKUP($A$180,Distributions!$A$4:$F$17,6,FALSE)</f>
        <v>-705.80000000000007</v>
      </c>
      <c r="M180" s="98">
        <f>VLOOKUP($A$180,Distributions!$A$4:$F$17,6,FALSE)</f>
        <v>-705.80000000000007</v>
      </c>
      <c r="N180" s="98">
        <f>VLOOKUP($A$180,Distributions!$A$4:$F$17,6,FALSE)</f>
        <v>-705.80000000000007</v>
      </c>
      <c r="O180" s="98">
        <f>VLOOKUP($A$180,Distributions!$A$4:$F$17,6,FALSE)</f>
        <v>-705.80000000000007</v>
      </c>
      <c r="P180" s="98">
        <f t="shared" si="41"/>
        <v>-8469.6</v>
      </c>
      <c r="Q180" s="98">
        <f t="shared" si="32"/>
        <v>0</v>
      </c>
      <c r="R180" s="153">
        <f t="shared" si="29"/>
        <v>0</v>
      </c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</row>
    <row r="181" spans="1:28" outlineLevel="1" x14ac:dyDescent="0.25">
      <c r="A181" s="166" t="s">
        <v>520</v>
      </c>
      <c r="B181" s="5" t="s">
        <v>521</v>
      </c>
      <c r="C181" s="98">
        <v>-8469.6</v>
      </c>
      <c r="D181" s="98">
        <f>VLOOKUP($A181,Distributions!$A$4:$F$17,6,FALSE)</f>
        <v>-705.80000000000007</v>
      </c>
      <c r="E181" s="98">
        <f>VLOOKUP($A181,Distributions!$A$4:$F$17,6,FALSE)</f>
        <v>-705.80000000000007</v>
      </c>
      <c r="F181" s="98">
        <f>VLOOKUP($A181,Distributions!$A$4:$F$17,6,FALSE)</f>
        <v>-705.80000000000007</v>
      </c>
      <c r="G181" s="98">
        <f>VLOOKUP($A181,Distributions!$A$4:$F$17,6,FALSE)</f>
        <v>-705.80000000000007</v>
      </c>
      <c r="H181" s="98">
        <f>VLOOKUP($A181,Distributions!$A$4:$F$17,6,FALSE)</f>
        <v>-705.80000000000007</v>
      </c>
      <c r="I181" s="98">
        <f>VLOOKUP($A181,Distributions!$A$4:$F$17,6,FALSE)</f>
        <v>-705.80000000000007</v>
      </c>
      <c r="J181" s="98">
        <f>VLOOKUP($A181,Distributions!$A$4:$F$17,6,FALSE)</f>
        <v>-705.80000000000007</v>
      </c>
      <c r="K181" s="98">
        <f>VLOOKUP($A181,Distributions!$A$4:$F$17,6,FALSE)</f>
        <v>-705.80000000000007</v>
      </c>
      <c r="L181" s="98">
        <f>VLOOKUP($A181,Distributions!$A$4:$F$17,6,FALSE)</f>
        <v>-705.80000000000007</v>
      </c>
      <c r="M181" s="98">
        <f>VLOOKUP($A181,Distributions!$A$4:$F$17,6,FALSE)</f>
        <v>-705.80000000000007</v>
      </c>
      <c r="N181" s="98">
        <f>VLOOKUP($A181,Distributions!$A$4:$F$17,6,FALSE)</f>
        <v>-705.80000000000007</v>
      </c>
      <c r="O181" s="98">
        <f>VLOOKUP($A181,Distributions!$A$4:$F$17,6,FALSE)</f>
        <v>-705.80000000000007</v>
      </c>
      <c r="P181" s="98">
        <f t="shared" si="41"/>
        <v>-8469.6</v>
      </c>
      <c r="Q181" s="98">
        <f t="shared" si="32"/>
        <v>0</v>
      </c>
      <c r="R181" s="153">
        <f t="shared" si="29"/>
        <v>0</v>
      </c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</row>
    <row r="182" spans="1:28" outlineLevel="1" x14ac:dyDescent="0.25">
      <c r="A182" s="166" t="s">
        <v>522</v>
      </c>
      <c r="B182" s="5" t="s">
        <v>523</v>
      </c>
      <c r="C182" s="98">
        <v>-16939.2</v>
      </c>
      <c r="D182" s="98">
        <f>VLOOKUP($A$182,Distributions!$A$4:$F$17,6,FALSE)</f>
        <v>-1411.6000000000001</v>
      </c>
      <c r="E182" s="98">
        <f>VLOOKUP($A$182,Distributions!$A$4:$F$17,6,FALSE)</f>
        <v>-1411.6000000000001</v>
      </c>
      <c r="F182" s="98">
        <f>VLOOKUP($A$182,Distributions!$A$4:$F$17,6,FALSE)</f>
        <v>-1411.6000000000001</v>
      </c>
      <c r="G182" s="98">
        <f>VLOOKUP($A$182,Distributions!$A$4:$F$17,6,FALSE)</f>
        <v>-1411.6000000000001</v>
      </c>
      <c r="H182" s="98">
        <f>VLOOKUP($A$182,Distributions!$A$4:$F$17,6,FALSE)</f>
        <v>-1411.6000000000001</v>
      </c>
      <c r="I182" s="98">
        <f>VLOOKUP($A$182,Distributions!$A$4:$F$17,6,FALSE)</f>
        <v>-1411.6000000000001</v>
      </c>
      <c r="J182" s="98">
        <f>VLOOKUP($A$182,Distributions!$A$4:$F$17,6,FALSE)</f>
        <v>-1411.6000000000001</v>
      </c>
      <c r="K182" s="98">
        <f>VLOOKUP($A$182,Distributions!$A$4:$F$17,6,FALSE)</f>
        <v>-1411.6000000000001</v>
      </c>
      <c r="L182" s="98">
        <f>VLOOKUP($A$182,Distributions!$A$4:$F$17,6,FALSE)</f>
        <v>-1411.6000000000001</v>
      </c>
      <c r="M182" s="98">
        <f>VLOOKUP($A$182,Distributions!$A$4:$F$17,6,FALSE)</f>
        <v>-1411.6000000000001</v>
      </c>
      <c r="N182" s="98">
        <f>VLOOKUP($A$182,Distributions!$A$4:$F$17,6,FALSE)</f>
        <v>-1411.6000000000001</v>
      </c>
      <c r="O182" s="98">
        <f>VLOOKUP($A$182,Distributions!$A$4:$F$17,6,FALSE)</f>
        <v>-1411.6000000000001</v>
      </c>
      <c r="P182" s="98">
        <f t="shared" si="41"/>
        <v>-16939.2</v>
      </c>
      <c r="Q182" s="98">
        <f t="shared" si="32"/>
        <v>0</v>
      </c>
      <c r="R182" s="153">
        <f t="shared" si="29"/>
        <v>0</v>
      </c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</row>
    <row r="183" spans="1:28" ht="15.75" outlineLevel="1" thickBot="1" x14ac:dyDescent="0.3">
      <c r="A183" s="166" t="s">
        <v>524</v>
      </c>
      <c r="B183" s="5" t="s">
        <v>525</v>
      </c>
      <c r="C183" s="98">
        <v>-16941.599999999999</v>
      </c>
      <c r="D183" s="98">
        <f>VLOOKUP($A$183,Distributions!$A$4:$F$17,6,FALSE)</f>
        <v>-1411.8</v>
      </c>
      <c r="E183" s="98">
        <f>VLOOKUP($A$183,Distributions!$A$4:$F$17,6,FALSE)</f>
        <v>-1411.8</v>
      </c>
      <c r="F183" s="98">
        <f>VLOOKUP($A$183,Distributions!$A$4:$F$17,6,FALSE)</f>
        <v>-1411.8</v>
      </c>
      <c r="G183" s="98">
        <f>VLOOKUP($A$183,Distributions!$A$4:$F$17,6,FALSE)</f>
        <v>-1411.8</v>
      </c>
      <c r="H183" s="98">
        <f>VLOOKUP($A$183,Distributions!$A$4:$F$17,6,FALSE)</f>
        <v>-1411.8</v>
      </c>
      <c r="I183" s="98">
        <f>VLOOKUP($A$183,Distributions!$A$4:$F$17,6,FALSE)</f>
        <v>-1411.8</v>
      </c>
      <c r="J183" s="98">
        <f>VLOOKUP($A$183,Distributions!$A$4:$F$17,6,FALSE)</f>
        <v>-1411.8</v>
      </c>
      <c r="K183" s="98">
        <f>VLOOKUP($A$183,Distributions!$A$4:$F$17,6,FALSE)</f>
        <v>-1411.8</v>
      </c>
      <c r="L183" s="98">
        <f>VLOOKUP($A$183,Distributions!$A$4:$F$17,6,FALSE)</f>
        <v>-1411.8</v>
      </c>
      <c r="M183" s="98">
        <f>VLOOKUP($A$183,Distributions!$A$4:$F$17,6,FALSE)</f>
        <v>-1411.8</v>
      </c>
      <c r="N183" s="98">
        <f>VLOOKUP($A$183,Distributions!$A$4:$F$17,6,FALSE)</f>
        <v>-1411.8</v>
      </c>
      <c r="O183" s="98">
        <f>VLOOKUP($A$183,Distributions!$A$4:$F$17,6,FALSE)</f>
        <v>-1411.8</v>
      </c>
      <c r="P183" s="98">
        <f t="shared" si="41"/>
        <v>-16941.599999999995</v>
      </c>
      <c r="Q183" s="98">
        <f t="shared" si="32"/>
        <v>3.637978807091713E-12</v>
      </c>
      <c r="R183" s="153">
        <f t="shared" si="29"/>
        <v>-2.1473643617437039E-16</v>
      </c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</row>
    <row r="184" spans="1:28" s="91" customFormat="1" x14ac:dyDescent="0.25">
      <c r="A184" s="6" t="s">
        <v>158</v>
      </c>
      <c r="B184" s="3" t="s">
        <v>159</v>
      </c>
      <c r="C184" s="100">
        <f>SUM(C170:C183)</f>
        <v>-240000.00000000006</v>
      </c>
      <c r="D184" s="100">
        <f>SUM(D170:D183)</f>
        <v>-19999.999999999996</v>
      </c>
      <c r="E184" s="100">
        <f>SUM(E170:E183)</f>
        <v>-19999.999999999996</v>
      </c>
      <c r="F184" s="100">
        <f>SUM(F170:F183)</f>
        <v>-19999.999999999996</v>
      </c>
      <c r="G184" s="100">
        <f>SUM(G170:G183)</f>
        <v>-19999.999999999996</v>
      </c>
      <c r="H184" s="100">
        <f>SUM(H170:H183)</f>
        <v>-19999.999999999996</v>
      </c>
      <c r="I184" s="100">
        <f>SUM(I170:I183)</f>
        <v>-19999.999999999996</v>
      </c>
      <c r="J184" s="100">
        <f>SUM(J170:J183)</f>
        <v>-19999.999999999996</v>
      </c>
      <c r="K184" s="100">
        <f>SUM(K170:K183)</f>
        <v>-19999.999999999996</v>
      </c>
      <c r="L184" s="100">
        <f>SUM(L170:L183)</f>
        <v>-19999.999999999996</v>
      </c>
      <c r="M184" s="100">
        <f>SUM(M170:M183)</f>
        <v>-19999.999999999996</v>
      </c>
      <c r="N184" s="100">
        <f>SUM(N170:N183)</f>
        <v>-19999.999999999996</v>
      </c>
      <c r="O184" s="100">
        <f>SUM(O170:O183)</f>
        <v>-19999.999999999996</v>
      </c>
      <c r="P184" s="100">
        <f>SUM(P170:P183)</f>
        <v>-240000</v>
      </c>
      <c r="Q184" s="100">
        <f t="shared" si="32"/>
        <v>5.8207660913467407E-11</v>
      </c>
      <c r="R184" s="153">
        <f t="shared" ref="R184:R189" si="42">IF(C184&lt;&gt;0,Q184/C184,"")</f>
        <v>-2.4253192047278083E-16</v>
      </c>
    </row>
    <row r="185" spans="1:28" x14ac:dyDescent="0.25">
      <c r="A185" s="1"/>
      <c r="B185" s="5"/>
      <c r="C185" s="105"/>
      <c r="D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 t="str">
        <f t="shared" si="32"/>
        <v/>
      </c>
      <c r="R185" s="153" t="str">
        <f t="shared" si="42"/>
        <v/>
      </c>
    </row>
    <row r="186" spans="1:28" ht="15.75" thickBot="1" x14ac:dyDescent="0.3">
      <c r="A186" s="1"/>
      <c r="B186" s="5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 t="str">
        <f t="shared" si="32"/>
        <v/>
      </c>
      <c r="R186" s="153" t="str">
        <f t="shared" si="42"/>
        <v/>
      </c>
    </row>
    <row r="187" spans="1:28" s="91" customFormat="1" x14ac:dyDescent="0.25">
      <c r="A187" s="6"/>
      <c r="B187" s="3" t="s">
        <v>160</v>
      </c>
      <c r="C187" s="100">
        <f>C141+C146+C167+C184</f>
        <v>-452789.00000000006</v>
      </c>
      <c r="D187" s="100">
        <f>D141+D146+D167+D184</f>
        <v>2724.3100000000049</v>
      </c>
      <c r="E187" s="100">
        <f>E141+E146+E167+E184</f>
        <v>-43115.479999999996</v>
      </c>
      <c r="F187" s="100">
        <f>F141+F146+F167+F184</f>
        <v>-39448.199999999997</v>
      </c>
      <c r="G187" s="100">
        <f>G141+G146+G167+G184</f>
        <v>2653.1500000000051</v>
      </c>
      <c r="H187" s="100">
        <f>H141+H146+H167+H184</f>
        <v>-31686.889999999996</v>
      </c>
      <c r="I187" s="100">
        <f>I141+I146+I167+I184</f>
        <v>-28019.849999999995</v>
      </c>
      <c r="J187" s="100">
        <f>J141+J146+J167+J184</f>
        <v>2581.2600000000057</v>
      </c>
      <c r="K187" s="100">
        <f>K141+K146+K167+K184</f>
        <v>-43259.009999999995</v>
      </c>
      <c r="L187" s="100">
        <f>L141+L146+L167+L184</f>
        <v>-39592.209999999992</v>
      </c>
      <c r="M187" s="100">
        <f>M141+M146+M167+M184</f>
        <v>3176.0000000000036</v>
      </c>
      <c r="N187" s="100">
        <f>N141+N146+N167+N184</f>
        <v>-42666.44</v>
      </c>
      <c r="O187" s="100">
        <f>O141+O146+O167+O184</f>
        <v>-39001.839999999997</v>
      </c>
      <c r="P187" s="100">
        <f>P141+P146+P167+P184</f>
        <v>-295655.19999999995</v>
      </c>
      <c r="Q187" s="100">
        <f t="shared" ref="Q187:Q189" si="43">IF(C187&lt;&gt;"",P187-C187,"")</f>
        <v>157133.8000000001</v>
      </c>
      <c r="R187" s="153">
        <f t="shared" si="42"/>
        <v>-0.34703537409256868</v>
      </c>
    </row>
    <row r="188" spans="1:28" s="91" customFormat="1" ht="15.75" thickBot="1" x14ac:dyDescent="0.3">
      <c r="A188" s="6"/>
      <c r="B188" s="3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 t="str">
        <f t="shared" si="43"/>
        <v/>
      </c>
      <c r="R188" s="153" t="str">
        <f t="shared" si="42"/>
        <v/>
      </c>
    </row>
    <row r="189" spans="1:28" s="91" customFormat="1" x14ac:dyDescent="0.25">
      <c r="A189" s="6"/>
      <c r="B189" s="3" t="s">
        <v>161</v>
      </c>
      <c r="C189" s="100">
        <f>SUM(C187,C122)</f>
        <v>-47388.000000000058</v>
      </c>
      <c r="D189" s="100">
        <f>SUM(D187,D122)</f>
        <v>20004.008333333324</v>
      </c>
      <c r="E189" s="100">
        <f>SUM(E187,E122)</f>
        <v>-4414.9916666666686</v>
      </c>
      <c r="F189" s="100">
        <f>SUM(F187,F122)</f>
        <v>-10282.021666666675</v>
      </c>
      <c r="G189" s="100">
        <f>SUM(G187,G122)</f>
        <v>22947.07833333332</v>
      </c>
      <c r="H189" s="100">
        <f>SUM(H187,H122)</f>
        <v>7792.0783333333275</v>
      </c>
      <c r="I189" s="100">
        <f>SUM(I187,I122)</f>
        <v>-12959.921666666673</v>
      </c>
      <c r="J189" s="100">
        <f>SUM(J187,J122)</f>
        <v>23629.178333333326</v>
      </c>
      <c r="K189" s="100">
        <f>SUM(K187,K122)</f>
        <v>-11347.521666666671</v>
      </c>
      <c r="L189" s="100">
        <f>SUM(L187,L122)</f>
        <v>33.078333333331102</v>
      </c>
      <c r="M189" s="100">
        <f>SUM(M187,M122)</f>
        <v>20820.638333333325</v>
      </c>
      <c r="N189" s="100">
        <f>SUM(N187,N122)</f>
        <v>-9398.3616666666785</v>
      </c>
      <c r="O189" s="100">
        <f>SUM(O187,O122)</f>
        <v>-9592.3616666666712</v>
      </c>
      <c r="P189" s="100">
        <f>SUM(P187,P122)</f>
        <v>39386.880000000121</v>
      </c>
      <c r="Q189" s="100">
        <f t="shared" si="43"/>
        <v>86774.880000000179</v>
      </c>
      <c r="R189" s="153">
        <f t="shared" si="42"/>
        <v>-1.8311572550012676</v>
      </c>
    </row>
    <row r="190" spans="1:28" s="91" customFormat="1" x14ac:dyDescent="0.25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53"/>
    </row>
    <row r="191" spans="1:28" s="91" customFormat="1" hidden="1" x14ac:dyDescent="0.25">
      <c r="A191" s="6"/>
      <c r="B191" s="3" t="s">
        <v>374</v>
      </c>
      <c r="C191" s="108"/>
      <c r="D191" s="109"/>
      <c r="E191" s="109">
        <f>D192</f>
        <v>20004.008333333324</v>
      </c>
      <c r="F191" s="109">
        <f t="shared" ref="F191:O191" si="44">E192</f>
        <v>15589.016666666656</v>
      </c>
      <c r="G191" s="109">
        <f t="shared" si="44"/>
        <v>5306.9949999999808</v>
      </c>
      <c r="H191" s="109">
        <f t="shared" si="44"/>
        <v>28254.073333333301</v>
      </c>
      <c r="I191" s="109">
        <f t="shared" si="44"/>
        <v>36046.151666666628</v>
      </c>
      <c r="J191" s="109">
        <f t="shared" si="44"/>
        <v>23086.229999999956</v>
      </c>
      <c r="K191" s="109">
        <f t="shared" si="44"/>
        <v>46715.408333333282</v>
      </c>
      <c r="L191" s="109">
        <f t="shared" si="44"/>
        <v>35367.886666666614</v>
      </c>
      <c r="M191" s="109">
        <f t="shared" si="44"/>
        <v>35400.964999999946</v>
      </c>
      <c r="N191" s="109">
        <f t="shared" si="44"/>
        <v>56221.603333333274</v>
      </c>
      <c r="O191" s="109">
        <f t="shared" si="44"/>
        <v>46823.241666666596</v>
      </c>
      <c r="P191" s="108"/>
      <c r="Q191" s="108"/>
      <c r="R191" s="153"/>
    </row>
    <row r="192" spans="1:28" s="91" customFormat="1" hidden="1" x14ac:dyDescent="0.25">
      <c r="A192" s="6"/>
      <c r="B192" s="3" t="s">
        <v>375</v>
      </c>
      <c r="C192" s="109"/>
      <c r="D192" s="109">
        <f>D191+D189</f>
        <v>20004.008333333324</v>
      </c>
      <c r="E192" s="109">
        <f>E191+E189</f>
        <v>15589.016666666656</v>
      </c>
      <c r="F192" s="109">
        <f t="shared" ref="F192:O192" si="45">F191+F189</f>
        <v>5306.9949999999808</v>
      </c>
      <c r="G192" s="109">
        <f t="shared" si="45"/>
        <v>28254.073333333301</v>
      </c>
      <c r="H192" s="109">
        <f t="shared" si="45"/>
        <v>36046.151666666628</v>
      </c>
      <c r="I192" s="109">
        <f t="shared" si="45"/>
        <v>23086.229999999956</v>
      </c>
      <c r="J192" s="109">
        <f t="shared" si="45"/>
        <v>46715.408333333282</v>
      </c>
      <c r="K192" s="109">
        <f t="shared" si="45"/>
        <v>35367.886666666614</v>
      </c>
      <c r="L192" s="109">
        <f t="shared" si="45"/>
        <v>35400.964999999946</v>
      </c>
      <c r="M192" s="109">
        <f t="shared" si="45"/>
        <v>56221.603333333274</v>
      </c>
      <c r="N192" s="109">
        <f t="shared" si="45"/>
        <v>46823.241666666596</v>
      </c>
      <c r="O192" s="109">
        <f t="shared" si="45"/>
        <v>37230.879999999925</v>
      </c>
      <c r="P192" s="109"/>
      <c r="Q192" s="109"/>
      <c r="R192" s="153"/>
    </row>
    <row r="193" spans="1:18" s="91" customFormat="1" hidden="1" x14ac:dyDescent="0.25">
      <c r="A193" s="6"/>
      <c r="B193" s="3"/>
      <c r="C193" s="109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9"/>
      <c r="Q193" s="109"/>
      <c r="R193" s="153"/>
    </row>
    <row r="194" spans="1:18" s="91" customFormat="1" x14ac:dyDescent="0.25">
      <c r="A194" s="6"/>
      <c r="B194" s="3"/>
      <c r="C194" s="109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98"/>
      <c r="O194" s="98"/>
      <c r="P194" s="109"/>
      <c r="Q194" s="109"/>
      <c r="R194" s="153"/>
    </row>
    <row r="195" spans="1:18" hidden="1" outlineLevel="1" x14ac:dyDescent="0.25">
      <c r="A195" s="1"/>
      <c r="B195" s="5"/>
      <c r="C195" s="99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P195" s="99"/>
      <c r="Q195" s="99"/>
      <c r="R195" s="152"/>
    </row>
    <row r="196" spans="1:18" hidden="1" outlineLevel="1" x14ac:dyDescent="0.25">
      <c r="A196" s="5"/>
      <c r="B196" s="5" t="s">
        <v>466</v>
      </c>
      <c r="C196" s="99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P196" s="99"/>
      <c r="Q196" s="99"/>
      <c r="R196" s="152"/>
    </row>
    <row r="197" spans="1:18" hidden="1" outlineLevel="1" x14ac:dyDescent="0.25">
      <c r="A197" s="1"/>
      <c r="B197" s="5" t="s">
        <v>490</v>
      </c>
      <c r="C197" s="99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>
        <f>SUM(D197:O197)</f>
        <v>0</v>
      </c>
      <c r="Q197" s="99"/>
      <c r="R197" s="152"/>
    </row>
    <row r="198" spans="1:18" hidden="1" outlineLevel="1" x14ac:dyDescent="0.25">
      <c r="A198" s="135"/>
      <c r="B198" s="5" t="s">
        <v>491</v>
      </c>
      <c r="C198" s="99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>
        <f>SUM(D198:O198)</f>
        <v>0</v>
      </c>
      <c r="Q198" s="99"/>
      <c r="R198" s="152"/>
    </row>
    <row r="199" spans="1:18" hidden="1" outlineLevel="1" x14ac:dyDescent="0.25">
      <c r="A199" s="166"/>
      <c r="B199" s="5" t="s">
        <v>492</v>
      </c>
      <c r="C199" s="99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9"/>
      <c r="R199" s="152"/>
    </row>
    <row r="200" spans="1:18" hidden="1" outlineLevel="1" x14ac:dyDescent="0.25">
      <c r="A200" s="166"/>
      <c r="B200" s="5" t="s">
        <v>493</v>
      </c>
      <c r="C200" s="99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9"/>
      <c r="R200" s="152"/>
    </row>
    <row r="201" spans="1:18" hidden="1" outlineLevel="1" x14ac:dyDescent="0.25">
      <c r="A201" s="166"/>
      <c r="B201" s="5" t="s">
        <v>494</v>
      </c>
      <c r="C201" s="99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9"/>
      <c r="R201" s="152"/>
    </row>
    <row r="202" spans="1:18" hidden="1" outlineLevel="1" x14ac:dyDescent="0.25">
      <c r="A202" s="166"/>
      <c r="B202" s="5" t="s">
        <v>495</v>
      </c>
      <c r="C202" s="99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9"/>
      <c r="R202" s="152"/>
    </row>
    <row r="203" spans="1:18" hidden="1" outlineLevel="1" x14ac:dyDescent="0.25">
      <c r="A203" s="166"/>
      <c r="B203" s="5" t="s">
        <v>496</v>
      </c>
      <c r="C203" s="99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9"/>
      <c r="R203" s="152"/>
    </row>
    <row r="204" spans="1:18" ht="15.75" hidden="1" outlineLevel="1" thickBot="1" x14ac:dyDescent="0.3">
      <c r="A204" s="166"/>
      <c r="B204" s="5" t="s">
        <v>497</v>
      </c>
      <c r="C204" s="99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9"/>
      <c r="R204" s="152"/>
    </row>
    <row r="205" spans="1:18" hidden="1" outlineLevel="1" x14ac:dyDescent="0.25">
      <c r="B205" s="3" t="s">
        <v>465</v>
      </c>
      <c r="C205"/>
      <c r="D205" s="100">
        <f>SUM(D197:D204)</f>
        <v>0</v>
      </c>
      <c r="E205" s="100">
        <f>SUM(E197:E204)</f>
        <v>0</v>
      </c>
      <c r="F205" s="100">
        <f>SUM(F197:F204)</f>
        <v>0</v>
      </c>
      <c r="G205" s="100">
        <f>SUM(G197:G204)</f>
        <v>0</v>
      </c>
      <c r="H205" s="100">
        <f>SUM(H197:H204)</f>
        <v>0</v>
      </c>
      <c r="I205" s="100">
        <f>SUM(I197:I204)</f>
        <v>0</v>
      </c>
      <c r="J205" s="100">
        <f>SUM(J197:J204)</f>
        <v>0</v>
      </c>
      <c r="K205" s="100">
        <f>SUM(K197:K204)</f>
        <v>0</v>
      </c>
      <c r="L205" s="100">
        <f>SUM(L197:L204)</f>
        <v>0</v>
      </c>
      <c r="M205" s="100">
        <f>SUM(M197:M204)</f>
        <v>0</v>
      </c>
      <c r="N205" s="100">
        <f>SUM(N197:N204)</f>
        <v>0</v>
      </c>
      <c r="O205" s="100">
        <f>SUM(O197:O204)</f>
        <v>0</v>
      </c>
      <c r="P205" s="100">
        <f>SUM(P197:P204)</f>
        <v>0</v>
      </c>
      <c r="Q205"/>
    </row>
    <row r="206" spans="1:18" hidden="1" outlineLevel="1" x14ac:dyDescent="0.25">
      <c r="A206" s="1"/>
      <c r="B206" s="3"/>
      <c r="C206" s="108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8"/>
      <c r="Q206" s="108"/>
      <c r="R206" s="153"/>
    </row>
    <row r="207" spans="1:18" hidden="1" outlineLevel="1" x14ac:dyDescent="0.25">
      <c r="A207" s="1"/>
      <c r="B207" s="5"/>
      <c r="C207" s="99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9"/>
      <c r="Q207" s="99"/>
      <c r="R207" s="152"/>
    </row>
    <row r="208" spans="1:18" hidden="1" outlineLevel="1" x14ac:dyDescent="0.25">
      <c r="A208" s="92" t="s">
        <v>480</v>
      </c>
      <c r="B208" s="3" t="s">
        <v>467</v>
      </c>
      <c r="C208" s="99"/>
      <c r="D208" s="104">
        <f>D189+D205</f>
        <v>20004.008333333324</v>
      </c>
      <c r="E208" s="104">
        <f>E189+E205</f>
        <v>-4414.9916666666686</v>
      </c>
      <c r="F208" s="104">
        <f>F189+F205</f>
        <v>-10282.021666666675</v>
      </c>
      <c r="G208" s="104">
        <f>G189+G205</f>
        <v>22947.07833333332</v>
      </c>
      <c r="H208" s="104">
        <f>H189+H205</f>
        <v>7792.0783333333275</v>
      </c>
      <c r="I208" s="104">
        <f>I189+I205</f>
        <v>-12959.921666666673</v>
      </c>
      <c r="J208" s="104">
        <f>J189+J205</f>
        <v>23629.178333333326</v>
      </c>
      <c r="K208" s="104">
        <f>K189+K205</f>
        <v>-11347.521666666671</v>
      </c>
      <c r="L208" s="104">
        <f>L189+L205</f>
        <v>33.078333333331102</v>
      </c>
      <c r="M208" s="104">
        <f>M189+M205</f>
        <v>20820.638333333325</v>
      </c>
      <c r="N208" s="104">
        <f>N189+N205</f>
        <v>-9398.3616666666785</v>
      </c>
      <c r="O208" s="104">
        <f>O189+O205</f>
        <v>-9592.3616666666712</v>
      </c>
      <c r="P208" s="104">
        <f>P189+P205</f>
        <v>39386.880000000121</v>
      </c>
      <c r="Q208" s="99"/>
      <c r="R208" s="152"/>
    </row>
    <row r="209" spans="1:18" hidden="1" outlineLevel="1" x14ac:dyDescent="0.25">
      <c r="A209" s="139"/>
      <c r="B209" s="3"/>
      <c r="C209" s="99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99"/>
      <c r="R209" s="152"/>
    </row>
    <row r="210" spans="1:18" hidden="1" outlineLevel="1" x14ac:dyDescent="0.25">
      <c r="A210" s="1"/>
      <c r="B210" s="5"/>
      <c r="C210" s="99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9"/>
      <c r="Q210" s="99"/>
      <c r="R210" s="152"/>
    </row>
    <row r="211" spans="1:18" collapsed="1" x14ac:dyDescent="0.25">
      <c r="A211" s="1"/>
      <c r="B211" s="3"/>
      <c r="C211" s="109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9"/>
      <c r="Q211" s="109"/>
      <c r="R211" s="153"/>
    </row>
  </sheetData>
  <mergeCells count="3">
    <mergeCell ref="A1:Q1"/>
    <mergeCell ref="A2:Q2"/>
    <mergeCell ref="C128:Q128"/>
  </mergeCells>
  <printOptions gridLines="1"/>
  <pageMargins left="0.1701388888888889" right="0.1701388888888889" top="0.1701388888888889" bottom="0.1701388888888889" header="0" footer="0"/>
  <pageSetup paperSize="5" scale="50" fitToHeight="990" orientation="landscape" r:id="rId1"/>
  <headerFooter>
    <oddHeader>&amp;R&amp;B&amp;D &amp;T</oddHeader>
    <oddFooter>&amp;C&amp;B Page &amp;P of &amp;N</oddFooter>
  </headerFooter>
  <rowBreaks count="1" manualBreakCount="1"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85" zoomScaleNormal="85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F12" sqref="F12"/>
    </sheetView>
  </sheetViews>
  <sheetFormatPr defaultRowHeight="15" x14ac:dyDescent="0.25"/>
  <cols>
    <col min="1" max="1" width="26.5703125" style="31" customWidth="1"/>
    <col min="2" max="2" width="8.85546875" style="32" bestFit="1" customWidth="1"/>
    <col min="3" max="3" width="8.85546875" style="74" bestFit="1" customWidth="1"/>
    <col min="4" max="4" width="10" style="74" bestFit="1" customWidth="1"/>
    <col min="5" max="16" width="13.28515625" style="75" bestFit="1" customWidth="1"/>
    <col min="17" max="17" width="12.140625" style="75" bestFit="1" customWidth="1"/>
    <col min="18" max="18" width="11.7109375" style="75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406</v>
      </c>
      <c r="T1" s="31" t="s">
        <v>382</v>
      </c>
    </row>
    <row r="2" spans="1:21" x14ac:dyDescent="0.25">
      <c r="A2" s="12" t="s">
        <v>356</v>
      </c>
    </row>
    <row r="4" spans="1:21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9" t="s">
        <v>383</v>
      </c>
      <c r="S4" s="76" t="s">
        <v>384</v>
      </c>
      <c r="T4" s="76" t="s">
        <v>385</v>
      </c>
      <c r="U4" s="76" t="s">
        <v>386</v>
      </c>
    </row>
    <row r="5" spans="1:21" s="54" customFormat="1" x14ac:dyDescent="0.25">
      <c r="A5" s="157" t="s">
        <v>490</v>
      </c>
      <c r="B5" s="165" t="s">
        <v>498</v>
      </c>
      <c r="C5" s="158"/>
      <c r="D5" s="159">
        <v>26.997894736842106</v>
      </c>
      <c r="E5" s="86">
        <v>23609.919999999998</v>
      </c>
      <c r="F5" s="86">
        <f>E5</f>
        <v>23609.919999999998</v>
      </c>
      <c r="G5" s="164">
        <v>25029.99</v>
      </c>
      <c r="H5" s="86">
        <f t="shared" ref="G5:P12" si="0">G5</f>
        <v>25029.99</v>
      </c>
      <c r="I5" s="86">
        <f t="shared" si="0"/>
        <v>25029.99</v>
      </c>
      <c r="J5" s="86">
        <f t="shared" si="0"/>
        <v>25029.99</v>
      </c>
      <c r="K5" s="86">
        <f t="shared" si="0"/>
        <v>25029.99</v>
      </c>
      <c r="L5" s="86">
        <f t="shared" si="0"/>
        <v>25029.99</v>
      </c>
      <c r="M5" s="86">
        <f t="shared" si="0"/>
        <v>25029.99</v>
      </c>
      <c r="N5" s="86">
        <f t="shared" si="0"/>
        <v>25029.99</v>
      </c>
      <c r="O5" s="86">
        <f t="shared" si="0"/>
        <v>25029.99</v>
      </c>
      <c r="P5" s="86">
        <f t="shared" si="0"/>
        <v>25029.99</v>
      </c>
      <c r="Q5" s="86">
        <f>SUM(E5:P5)</f>
        <v>297519.74</v>
      </c>
      <c r="R5" s="86"/>
      <c r="T5" s="54" t="s">
        <v>380</v>
      </c>
    </row>
    <row r="6" spans="1:21" s="54" customFormat="1" x14ac:dyDescent="0.25">
      <c r="A6" s="54" t="s">
        <v>491</v>
      </c>
      <c r="B6" s="165" t="s">
        <v>498</v>
      </c>
      <c r="C6" s="158"/>
      <c r="D6" s="159">
        <v>16.23</v>
      </c>
      <c r="E6" s="86">
        <v>2708.33</v>
      </c>
      <c r="F6" s="86">
        <f t="shared" ref="F6:P6" si="1">E6</f>
        <v>2708.33</v>
      </c>
      <c r="G6" s="86">
        <f t="shared" si="0"/>
        <v>2708.33</v>
      </c>
      <c r="H6" s="86">
        <f t="shared" si="0"/>
        <v>2708.33</v>
      </c>
      <c r="I6" s="86">
        <f t="shared" si="0"/>
        <v>2708.33</v>
      </c>
      <c r="J6" s="86">
        <f t="shared" si="0"/>
        <v>2708.33</v>
      </c>
      <c r="K6" s="86">
        <f t="shared" si="0"/>
        <v>2708.33</v>
      </c>
      <c r="L6" s="86">
        <f t="shared" si="0"/>
        <v>2708.33</v>
      </c>
      <c r="M6" s="86">
        <f t="shared" si="0"/>
        <v>2708.33</v>
      </c>
      <c r="N6" s="86">
        <f t="shared" si="0"/>
        <v>2708.33</v>
      </c>
      <c r="O6" s="86">
        <f t="shared" si="0"/>
        <v>2708.33</v>
      </c>
      <c r="P6" s="86">
        <f t="shared" si="0"/>
        <v>2708.33</v>
      </c>
      <c r="Q6" s="86">
        <f t="shared" ref="Q6:Q13" si="2">SUM(E6:P6)</f>
        <v>32499.960000000006</v>
      </c>
      <c r="R6" s="86"/>
      <c r="T6" s="54" t="s">
        <v>387</v>
      </c>
    </row>
    <row r="7" spans="1:21" s="54" customFormat="1" x14ac:dyDescent="0.25">
      <c r="A7" s="54" t="s">
        <v>492</v>
      </c>
      <c r="B7" s="165" t="s">
        <v>498</v>
      </c>
      <c r="C7" s="158"/>
      <c r="D7" s="159">
        <v>21.492967741935484</v>
      </c>
      <c r="E7" s="86">
        <v>3472.73</v>
      </c>
      <c r="F7" s="86">
        <f t="shared" ref="F7:P7" si="3">E7</f>
        <v>3472.73</v>
      </c>
      <c r="G7" s="86">
        <f t="shared" si="0"/>
        <v>3472.73</v>
      </c>
      <c r="H7" s="86">
        <f t="shared" si="0"/>
        <v>3472.73</v>
      </c>
      <c r="I7" s="86">
        <f t="shared" si="0"/>
        <v>3472.73</v>
      </c>
      <c r="J7" s="86">
        <f t="shared" si="0"/>
        <v>3472.73</v>
      </c>
      <c r="K7" s="86">
        <f t="shared" si="0"/>
        <v>3472.73</v>
      </c>
      <c r="L7" s="86">
        <f t="shared" si="0"/>
        <v>3472.73</v>
      </c>
      <c r="M7" s="86">
        <f t="shared" si="0"/>
        <v>3472.73</v>
      </c>
      <c r="N7" s="86">
        <f t="shared" si="0"/>
        <v>3472.73</v>
      </c>
      <c r="O7" s="86">
        <f t="shared" si="0"/>
        <v>3472.73</v>
      </c>
      <c r="P7" s="86">
        <f t="shared" si="0"/>
        <v>3472.73</v>
      </c>
      <c r="Q7" s="86">
        <f t="shared" si="2"/>
        <v>41672.760000000009</v>
      </c>
      <c r="R7" s="86"/>
      <c r="T7" s="54" t="s">
        <v>388</v>
      </c>
    </row>
    <row r="8" spans="1:21" s="54" customFormat="1" x14ac:dyDescent="0.25">
      <c r="A8" s="54" t="s">
        <v>493</v>
      </c>
      <c r="B8" s="165" t="s">
        <v>498</v>
      </c>
      <c r="C8" s="158"/>
      <c r="D8" s="159">
        <v>24.041065573770489</v>
      </c>
      <c r="E8" s="164">
        <v>4249.79</v>
      </c>
      <c r="F8" s="86">
        <f t="shared" ref="F8:P8" si="4">E8</f>
        <v>4249.79</v>
      </c>
      <c r="G8" s="86">
        <f t="shared" si="0"/>
        <v>4249.79</v>
      </c>
      <c r="H8" s="86">
        <f t="shared" si="0"/>
        <v>4249.79</v>
      </c>
      <c r="I8" s="86">
        <f t="shared" si="0"/>
        <v>4249.79</v>
      </c>
      <c r="J8" s="86">
        <f t="shared" si="0"/>
        <v>4249.79</v>
      </c>
      <c r="K8" s="86">
        <f t="shared" si="0"/>
        <v>4249.79</v>
      </c>
      <c r="L8" s="86">
        <f t="shared" si="0"/>
        <v>4249.79</v>
      </c>
      <c r="M8" s="86">
        <f t="shared" si="0"/>
        <v>4249.79</v>
      </c>
      <c r="N8" s="86">
        <f t="shared" si="0"/>
        <v>4249.79</v>
      </c>
      <c r="O8" s="86">
        <f t="shared" si="0"/>
        <v>4249.79</v>
      </c>
      <c r="P8" s="86">
        <f t="shared" si="0"/>
        <v>4249.79</v>
      </c>
      <c r="Q8" s="86">
        <f t="shared" si="2"/>
        <v>50997.48</v>
      </c>
      <c r="R8" s="86"/>
      <c r="T8" s="54" t="s">
        <v>389</v>
      </c>
    </row>
    <row r="9" spans="1:21" s="54" customFormat="1" x14ac:dyDescent="0.25">
      <c r="A9" s="54" t="s">
        <v>494</v>
      </c>
      <c r="B9" s="165" t="s">
        <v>498</v>
      </c>
      <c r="C9" s="158"/>
      <c r="D9" s="159">
        <v>24.345592105263155</v>
      </c>
      <c r="E9" s="86">
        <v>3150</v>
      </c>
      <c r="F9" s="86">
        <f t="shared" ref="F9:P9" si="5">E9</f>
        <v>3150</v>
      </c>
      <c r="G9" s="86">
        <f t="shared" si="0"/>
        <v>3150</v>
      </c>
      <c r="H9" s="86">
        <f t="shared" si="0"/>
        <v>3150</v>
      </c>
      <c r="I9" s="86">
        <f t="shared" si="0"/>
        <v>3150</v>
      </c>
      <c r="J9" s="86">
        <f t="shared" si="0"/>
        <v>3150</v>
      </c>
      <c r="K9" s="86">
        <f t="shared" si="0"/>
        <v>3150</v>
      </c>
      <c r="L9" s="86">
        <f t="shared" si="0"/>
        <v>3150</v>
      </c>
      <c r="M9" s="86">
        <f t="shared" si="0"/>
        <v>3150</v>
      </c>
      <c r="N9" s="86">
        <f t="shared" si="0"/>
        <v>3150</v>
      </c>
      <c r="O9" s="86">
        <f t="shared" si="0"/>
        <v>3150</v>
      </c>
      <c r="P9" s="86">
        <f t="shared" si="0"/>
        <v>3150</v>
      </c>
      <c r="Q9" s="86">
        <f t="shared" si="2"/>
        <v>37800</v>
      </c>
      <c r="R9" s="86"/>
      <c r="T9" s="54" t="s">
        <v>378</v>
      </c>
    </row>
    <row r="10" spans="1:21" s="54" customFormat="1" x14ac:dyDescent="0.25">
      <c r="A10" s="54" t="s">
        <v>495</v>
      </c>
      <c r="B10" s="165" t="s">
        <v>498</v>
      </c>
      <c r="C10" s="158"/>
      <c r="D10" s="158">
        <v>16</v>
      </c>
      <c r="E10" s="86">
        <v>4250</v>
      </c>
      <c r="F10" s="86">
        <f t="shared" ref="F10:P10" si="6">E10</f>
        <v>4250</v>
      </c>
      <c r="G10" s="86">
        <f t="shared" si="0"/>
        <v>4250</v>
      </c>
      <c r="H10" s="86">
        <f t="shared" si="0"/>
        <v>4250</v>
      </c>
      <c r="I10" s="86">
        <f t="shared" si="0"/>
        <v>4250</v>
      </c>
      <c r="J10" s="86">
        <f t="shared" si="0"/>
        <v>4250</v>
      </c>
      <c r="K10" s="86">
        <f t="shared" si="0"/>
        <v>4250</v>
      </c>
      <c r="L10" s="86">
        <f t="shared" si="0"/>
        <v>4250</v>
      </c>
      <c r="M10" s="86">
        <f t="shared" si="0"/>
        <v>4250</v>
      </c>
      <c r="N10" s="86">
        <f t="shared" si="0"/>
        <v>4250</v>
      </c>
      <c r="O10" s="86">
        <f t="shared" si="0"/>
        <v>4250</v>
      </c>
      <c r="P10" s="86">
        <f t="shared" si="0"/>
        <v>4250</v>
      </c>
      <c r="Q10" s="86">
        <f t="shared" si="2"/>
        <v>51000</v>
      </c>
      <c r="R10" s="86"/>
      <c r="T10" s="54" t="s">
        <v>379</v>
      </c>
    </row>
    <row r="11" spans="1:21" s="54" customFormat="1" x14ac:dyDescent="0.25">
      <c r="A11" s="54" t="s">
        <v>496</v>
      </c>
      <c r="B11" s="165" t="s">
        <v>498</v>
      </c>
      <c r="C11" s="160"/>
      <c r="D11" s="158">
        <v>21.995999999999999</v>
      </c>
      <c r="E11" s="86">
        <v>7584.17</v>
      </c>
      <c r="F11" s="86">
        <f t="shared" ref="F11:P11" si="7">E11</f>
        <v>7584.17</v>
      </c>
      <c r="G11" s="86">
        <f t="shared" si="0"/>
        <v>7584.17</v>
      </c>
      <c r="H11" s="86">
        <f t="shared" si="0"/>
        <v>7584.17</v>
      </c>
      <c r="I11" s="86">
        <f t="shared" si="0"/>
        <v>7584.17</v>
      </c>
      <c r="J11" s="86">
        <f t="shared" si="0"/>
        <v>7584.17</v>
      </c>
      <c r="K11" s="86">
        <f t="shared" si="0"/>
        <v>7584.17</v>
      </c>
      <c r="L11" s="86">
        <f t="shared" si="0"/>
        <v>7584.17</v>
      </c>
      <c r="M11" s="86">
        <f t="shared" si="0"/>
        <v>7584.17</v>
      </c>
      <c r="N11" s="86">
        <f t="shared" si="0"/>
        <v>7584.17</v>
      </c>
      <c r="O11" s="86">
        <f t="shared" si="0"/>
        <v>7584.17</v>
      </c>
      <c r="P11" s="86">
        <f t="shared" si="0"/>
        <v>7584.17</v>
      </c>
      <c r="Q11" s="86">
        <f t="shared" si="2"/>
        <v>91010.04</v>
      </c>
      <c r="R11" s="86"/>
      <c r="T11" s="54" t="s">
        <v>381</v>
      </c>
      <c r="U11" s="54" t="s">
        <v>390</v>
      </c>
    </row>
    <row r="12" spans="1:21" s="161" customFormat="1" x14ac:dyDescent="0.25">
      <c r="A12" s="161" t="s">
        <v>497</v>
      </c>
      <c r="B12" s="165" t="s">
        <v>498</v>
      </c>
      <c r="C12" s="162"/>
      <c r="D12" s="162">
        <v>20</v>
      </c>
      <c r="E12" s="163">
        <v>3421.42</v>
      </c>
      <c r="F12" s="86">
        <f t="shared" ref="F12:P12" si="8">E12</f>
        <v>3421.42</v>
      </c>
      <c r="G12" s="86">
        <f t="shared" si="0"/>
        <v>3421.42</v>
      </c>
      <c r="H12" s="86">
        <f t="shared" si="0"/>
        <v>3421.42</v>
      </c>
      <c r="I12" s="86">
        <f t="shared" si="0"/>
        <v>3421.42</v>
      </c>
      <c r="J12" s="86">
        <f t="shared" si="0"/>
        <v>3421.42</v>
      </c>
      <c r="K12" s="86">
        <f t="shared" si="0"/>
        <v>3421.42</v>
      </c>
      <c r="L12" s="86">
        <f t="shared" si="0"/>
        <v>3421.42</v>
      </c>
      <c r="M12" s="86">
        <f t="shared" si="0"/>
        <v>3421.42</v>
      </c>
      <c r="N12" s="86">
        <f t="shared" si="0"/>
        <v>3421.42</v>
      </c>
      <c r="O12" s="86">
        <f t="shared" si="0"/>
        <v>3421.42</v>
      </c>
      <c r="P12" s="86">
        <f t="shared" si="0"/>
        <v>3421.42</v>
      </c>
      <c r="Q12" s="163">
        <f t="shared" si="2"/>
        <v>41057.039999999986</v>
      </c>
      <c r="R12" s="163"/>
      <c r="T12" s="161" t="s">
        <v>391</v>
      </c>
    </row>
    <row r="13" spans="1:21" x14ac:dyDescent="0.25">
      <c r="Q13" s="75">
        <f t="shared" si="2"/>
        <v>0</v>
      </c>
      <c r="T13" s="31">
        <v>0</v>
      </c>
    </row>
    <row r="14" spans="1:21" x14ac:dyDescent="0.25">
      <c r="T14" s="31">
        <v>0</v>
      </c>
    </row>
    <row r="18" spans="1:17" x14ac:dyDescent="0.25">
      <c r="A18" s="31" t="s">
        <v>363</v>
      </c>
      <c r="C18" s="74">
        <f t="shared" ref="C18:P18" si="9">SUM(C5:C17)</f>
        <v>0</v>
      </c>
      <c r="D18" s="74">
        <f t="shared" si="9"/>
        <v>171.10352015781123</v>
      </c>
      <c r="E18" s="94">
        <f t="shared" si="9"/>
        <v>52446.359999999993</v>
      </c>
      <c r="F18" s="94">
        <f t="shared" si="9"/>
        <v>52446.359999999993</v>
      </c>
      <c r="G18" s="94">
        <f t="shared" si="9"/>
        <v>53866.429999999993</v>
      </c>
      <c r="H18" s="94">
        <f t="shared" si="9"/>
        <v>53866.429999999993</v>
      </c>
      <c r="I18" s="94">
        <f t="shared" si="9"/>
        <v>53866.429999999993</v>
      </c>
      <c r="J18" s="94">
        <f t="shared" si="9"/>
        <v>53866.429999999993</v>
      </c>
      <c r="K18" s="94">
        <f t="shared" si="9"/>
        <v>53866.429999999993</v>
      </c>
      <c r="L18" s="94">
        <f t="shared" si="9"/>
        <v>53866.429999999993</v>
      </c>
      <c r="M18" s="94">
        <f t="shared" si="9"/>
        <v>53866.429999999993</v>
      </c>
      <c r="N18" s="94">
        <f t="shared" si="9"/>
        <v>53866.429999999993</v>
      </c>
      <c r="O18" s="94">
        <f t="shared" si="9"/>
        <v>53866.429999999993</v>
      </c>
      <c r="P18" s="94">
        <f t="shared" si="9"/>
        <v>53866.429999999993</v>
      </c>
      <c r="Q18" s="75">
        <f>SUM(Q5:Q13)</f>
        <v>643557.02</v>
      </c>
    </row>
    <row r="19" spans="1:17" x14ac:dyDescent="0.25">
      <c r="Q19" s="75">
        <f>SUM(E18:P18)</f>
        <v>643557.01999999979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E18" sqref="E18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74" bestFit="1" customWidth="1"/>
    <col min="4" max="4" width="8.42578125" style="74" bestFit="1" customWidth="1"/>
    <col min="5" max="16" width="10.5703125" style="75" bestFit="1" customWidth="1"/>
    <col min="17" max="17" width="12.140625" style="75" bestFit="1" customWidth="1"/>
    <col min="18" max="18" width="11.5703125" style="75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405</v>
      </c>
    </row>
    <row r="2" spans="1:20" x14ac:dyDescent="0.25">
      <c r="A2" s="12" t="s">
        <v>364</v>
      </c>
    </row>
    <row r="4" spans="1:20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9" t="s">
        <v>359</v>
      </c>
      <c r="S4" s="76" t="s">
        <v>0</v>
      </c>
      <c r="T4" s="76" t="s">
        <v>203</v>
      </c>
    </row>
    <row r="6" spans="1:20" s="54" customFormat="1" x14ac:dyDescent="0.25">
      <c r="A6" s="157" t="s">
        <v>490</v>
      </c>
      <c r="B6" s="165" t="s">
        <v>498</v>
      </c>
      <c r="C6" s="158">
        <v>2850</v>
      </c>
      <c r="D6" s="159">
        <v>26.997894736842106</v>
      </c>
      <c r="E6" s="86">
        <v>3552.17</v>
      </c>
      <c r="F6" s="86">
        <f>E6</f>
        <v>3552.17</v>
      </c>
      <c r="G6" s="86">
        <f t="shared" ref="G6:P6" si="0">F6</f>
        <v>3552.17</v>
      </c>
      <c r="H6" s="86">
        <f t="shared" si="0"/>
        <v>3552.17</v>
      </c>
      <c r="I6" s="86">
        <f t="shared" si="0"/>
        <v>3552.17</v>
      </c>
      <c r="J6" s="86">
        <f t="shared" si="0"/>
        <v>3552.17</v>
      </c>
      <c r="K6" s="86">
        <f t="shared" si="0"/>
        <v>3552.17</v>
      </c>
      <c r="L6" s="86">
        <f t="shared" si="0"/>
        <v>3552.17</v>
      </c>
      <c r="M6" s="86">
        <f t="shared" si="0"/>
        <v>3552.17</v>
      </c>
      <c r="N6" s="86">
        <f t="shared" si="0"/>
        <v>3552.17</v>
      </c>
      <c r="O6" s="86">
        <f t="shared" si="0"/>
        <v>3552.17</v>
      </c>
      <c r="P6" s="86">
        <f t="shared" si="0"/>
        <v>3552.17</v>
      </c>
      <c r="Q6" s="86">
        <f>SUM(E6:P6)</f>
        <v>42626.039999999986</v>
      </c>
      <c r="R6" s="86"/>
    </row>
    <row r="7" spans="1:20" s="54" customFormat="1" x14ac:dyDescent="0.25">
      <c r="A7" s="54" t="s">
        <v>491</v>
      </c>
      <c r="B7" s="165" t="s">
        <v>498</v>
      </c>
      <c r="C7" s="158">
        <f>12835+1958+2403</f>
        <v>17196</v>
      </c>
      <c r="D7" s="159">
        <v>16.23</v>
      </c>
      <c r="E7" s="86">
        <v>395.44</v>
      </c>
      <c r="F7" s="86">
        <f t="shared" ref="F7:P13" si="1">E7</f>
        <v>395.44</v>
      </c>
      <c r="G7" s="86">
        <f t="shared" si="1"/>
        <v>395.44</v>
      </c>
      <c r="H7" s="86">
        <f t="shared" si="1"/>
        <v>395.44</v>
      </c>
      <c r="I7" s="86">
        <f t="shared" si="1"/>
        <v>395.44</v>
      </c>
      <c r="J7" s="86">
        <f t="shared" si="1"/>
        <v>395.44</v>
      </c>
      <c r="K7" s="86">
        <f t="shared" si="1"/>
        <v>395.44</v>
      </c>
      <c r="L7" s="86">
        <f t="shared" si="1"/>
        <v>395.44</v>
      </c>
      <c r="M7" s="86">
        <f t="shared" si="1"/>
        <v>395.44</v>
      </c>
      <c r="N7" s="86">
        <f t="shared" si="1"/>
        <v>395.44</v>
      </c>
      <c r="O7" s="86">
        <f t="shared" si="1"/>
        <v>395.44</v>
      </c>
      <c r="P7" s="86">
        <f t="shared" si="1"/>
        <v>395.44</v>
      </c>
      <c r="Q7" s="86">
        <f t="shared" ref="Q7:Q9" si="2">SUM(E7:P7)</f>
        <v>4745.28</v>
      </c>
      <c r="R7" s="86"/>
    </row>
    <row r="8" spans="1:20" s="54" customFormat="1" x14ac:dyDescent="0.25">
      <c r="A8" s="54" t="s">
        <v>492</v>
      </c>
      <c r="B8" s="165" t="s">
        <v>498</v>
      </c>
      <c r="C8" s="158">
        <v>1240</v>
      </c>
      <c r="D8" s="159">
        <v>21.492967741935484</v>
      </c>
      <c r="E8" s="86">
        <v>258.31</v>
      </c>
      <c r="F8" s="86">
        <f t="shared" si="1"/>
        <v>258.31</v>
      </c>
      <c r="G8" s="86">
        <f t="shared" si="1"/>
        <v>258.31</v>
      </c>
      <c r="H8" s="86">
        <f t="shared" si="1"/>
        <v>258.31</v>
      </c>
      <c r="I8" s="86">
        <f t="shared" si="1"/>
        <v>258.31</v>
      </c>
      <c r="J8" s="86">
        <f t="shared" si="1"/>
        <v>258.31</v>
      </c>
      <c r="K8" s="86">
        <f t="shared" si="1"/>
        <v>258.31</v>
      </c>
      <c r="L8" s="86">
        <f t="shared" si="1"/>
        <v>258.31</v>
      </c>
      <c r="M8" s="86">
        <f t="shared" si="1"/>
        <v>258.31</v>
      </c>
      <c r="N8" s="86">
        <f t="shared" si="1"/>
        <v>258.31</v>
      </c>
      <c r="O8" s="86">
        <f t="shared" si="1"/>
        <v>258.31</v>
      </c>
      <c r="P8" s="86">
        <f t="shared" si="1"/>
        <v>258.31</v>
      </c>
      <c r="Q8" s="86">
        <f t="shared" si="2"/>
        <v>3099.72</v>
      </c>
      <c r="R8" s="86"/>
    </row>
    <row r="9" spans="1:20" s="54" customFormat="1" x14ac:dyDescent="0.25">
      <c r="A9" s="54" t="s">
        <v>493</v>
      </c>
      <c r="B9" s="165" t="s">
        <v>498</v>
      </c>
      <c r="C9" s="158">
        <v>976</v>
      </c>
      <c r="D9" s="159">
        <v>24.041065573770489</v>
      </c>
      <c r="E9" s="86">
        <v>885.53</v>
      </c>
      <c r="F9" s="86">
        <f t="shared" si="1"/>
        <v>885.53</v>
      </c>
      <c r="G9" s="86">
        <f t="shared" si="1"/>
        <v>885.53</v>
      </c>
      <c r="H9" s="86">
        <f t="shared" si="1"/>
        <v>885.53</v>
      </c>
      <c r="I9" s="86">
        <f t="shared" si="1"/>
        <v>885.53</v>
      </c>
      <c r="J9" s="86">
        <f t="shared" si="1"/>
        <v>885.53</v>
      </c>
      <c r="K9" s="86">
        <f t="shared" si="1"/>
        <v>885.53</v>
      </c>
      <c r="L9" s="86">
        <f t="shared" si="1"/>
        <v>885.53</v>
      </c>
      <c r="M9" s="86">
        <f t="shared" si="1"/>
        <v>885.53</v>
      </c>
      <c r="N9" s="86">
        <f t="shared" si="1"/>
        <v>885.53</v>
      </c>
      <c r="O9" s="86">
        <f t="shared" si="1"/>
        <v>885.53</v>
      </c>
      <c r="P9" s="86">
        <f t="shared" si="1"/>
        <v>885.53</v>
      </c>
      <c r="Q9" s="86">
        <f t="shared" si="2"/>
        <v>10626.36</v>
      </c>
      <c r="R9" s="86"/>
    </row>
    <row r="10" spans="1:20" s="54" customFormat="1" x14ac:dyDescent="0.25">
      <c r="A10" s="54" t="s">
        <v>494</v>
      </c>
      <c r="B10" s="165" t="s">
        <v>498</v>
      </c>
      <c r="C10" s="158">
        <v>1216</v>
      </c>
      <c r="D10" s="159">
        <v>24.345592105263155</v>
      </c>
      <c r="E10" s="86">
        <v>0</v>
      </c>
      <c r="F10" s="86">
        <f t="shared" si="1"/>
        <v>0</v>
      </c>
      <c r="G10" s="86">
        <f t="shared" si="1"/>
        <v>0</v>
      </c>
      <c r="H10" s="86">
        <f t="shared" si="1"/>
        <v>0</v>
      </c>
      <c r="I10" s="86">
        <f t="shared" si="1"/>
        <v>0</v>
      </c>
      <c r="J10" s="86">
        <f t="shared" si="1"/>
        <v>0</v>
      </c>
      <c r="K10" s="86">
        <f t="shared" si="1"/>
        <v>0</v>
      </c>
      <c r="L10" s="86">
        <f t="shared" si="1"/>
        <v>0</v>
      </c>
      <c r="M10" s="86">
        <f t="shared" si="1"/>
        <v>0</v>
      </c>
      <c r="N10" s="86">
        <f t="shared" si="1"/>
        <v>0</v>
      </c>
      <c r="O10" s="86">
        <f t="shared" si="1"/>
        <v>0</v>
      </c>
      <c r="P10" s="86">
        <f t="shared" si="1"/>
        <v>0</v>
      </c>
      <c r="Q10" s="86">
        <f>SUM(E10:P10)</f>
        <v>0</v>
      </c>
      <c r="R10" s="86"/>
    </row>
    <row r="11" spans="1:20" s="54" customFormat="1" x14ac:dyDescent="0.25">
      <c r="A11" s="54" t="s">
        <v>495</v>
      </c>
      <c r="B11" s="165" t="s">
        <v>498</v>
      </c>
      <c r="C11" s="158">
        <v>24000</v>
      </c>
      <c r="D11" s="158">
        <v>16</v>
      </c>
      <c r="E11" s="86">
        <v>435.93</v>
      </c>
      <c r="F11" s="86">
        <f t="shared" si="1"/>
        <v>435.93</v>
      </c>
      <c r="G11" s="86">
        <f t="shared" si="1"/>
        <v>435.93</v>
      </c>
      <c r="H11" s="86">
        <f t="shared" si="1"/>
        <v>435.93</v>
      </c>
      <c r="I11" s="86">
        <f t="shared" si="1"/>
        <v>435.93</v>
      </c>
      <c r="J11" s="86">
        <f t="shared" si="1"/>
        <v>435.93</v>
      </c>
      <c r="K11" s="86">
        <f t="shared" si="1"/>
        <v>435.93</v>
      </c>
      <c r="L11" s="86">
        <f t="shared" si="1"/>
        <v>435.93</v>
      </c>
      <c r="M11" s="86">
        <f t="shared" si="1"/>
        <v>435.93</v>
      </c>
      <c r="N11" s="86">
        <f t="shared" si="1"/>
        <v>435.93</v>
      </c>
      <c r="O11" s="86">
        <f t="shared" si="1"/>
        <v>435.93</v>
      </c>
      <c r="P11" s="86">
        <f t="shared" si="1"/>
        <v>435.93</v>
      </c>
      <c r="Q11" s="86">
        <f t="shared" ref="Q11:Q13" si="3">SUM(E11:P11)</f>
        <v>5231.16</v>
      </c>
      <c r="R11" s="86"/>
      <c r="T11" s="54" t="s">
        <v>360</v>
      </c>
    </row>
    <row r="12" spans="1:20" s="54" customFormat="1" x14ac:dyDescent="0.25">
      <c r="A12" s="54" t="s">
        <v>496</v>
      </c>
      <c r="B12" s="165" t="s">
        <v>498</v>
      </c>
      <c r="C12" s="160">
        <v>2000</v>
      </c>
      <c r="D12" s="158">
        <v>21.995999999999999</v>
      </c>
      <c r="E12" s="86">
        <v>816.1</v>
      </c>
      <c r="F12" s="86">
        <f t="shared" si="1"/>
        <v>816.1</v>
      </c>
      <c r="G12" s="86">
        <f t="shared" si="1"/>
        <v>816.1</v>
      </c>
      <c r="H12" s="86">
        <f t="shared" si="1"/>
        <v>816.1</v>
      </c>
      <c r="I12" s="86">
        <f t="shared" si="1"/>
        <v>816.1</v>
      </c>
      <c r="J12" s="86">
        <f t="shared" si="1"/>
        <v>816.1</v>
      </c>
      <c r="K12" s="86">
        <f t="shared" si="1"/>
        <v>816.1</v>
      </c>
      <c r="L12" s="86">
        <f t="shared" si="1"/>
        <v>816.1</v>
      </c>
      <c r="M12" s="86">
        <f t="shared" si="1"/>
        <v>816.1</v>
      </c>
      <c r="N12" s="86">
        <f t="shared" si="1"/>
        <v>816.1</v>
      </c>
      <c r="O12" s="86">
        <f t="shared" si="1"/>
        <v>816.1</v>
      </c>
      <c r="P12" s="86">
        <f t="shared" si="1"/>
        <v>816.1</v>
      </c>
      <c r="Q12" s="86">
        <f t="shared" si="3"/>
        <v>9793.2000000000025</v>
      </c>
      <c r="R12" s="86"/>
      <c r="T12" s="54" t="s">
        <v>361</v>
      </c>
    </row>
    <row r="13" spans="1:20" s="54" customFormat="1" x14ac:dyDescent="0.25">
      <c r="A13" s="161" t="s">
        <v>497</v>
      </c>
      <c r="B13" s="165" t="s">
        <v>498</v>
      </c>
      <c r="C13" s="162">
        <v>1980</v>
      </c>
      <c r="D13" s="162">
        <v>20</v>
      </c>
      <c r="E13" s="163">
        <v>464.4</v>
      </c>
      <c r="F13" s="86">
        <f t="shared" si="1"/>
        <v>464.4</v>
      </c>
      <c r="G13" s="86">
        <f t="shared" si="1"/>
        <v>464.4</v>
      </c>
      <c r="H13" s="86">
        <f t="shared" si="1"/>
        <v>464.4</v>
      </c>
      <c r="I13" s="86">
        <f t="shared" si="1"/>
        <v>464.4</v>
      </c>
      <c r="J13" s="86">
        <f t="shared" si="1"/>
        <v>464.4</v>
      </c>
      <c r="K13" s="86">
        <f t="shared" si="1"/>
        <v>464.4</v>
      </c>
      <c r="L13" s="86">
        <f t="shared" si="1"/>
        <v>464.4</v>
      </c>
      <c r="M13" s="86">
        <f t="shared" si="1"/>
        <v>464.4</v>
      </c>
      <c r="N13" s="86">
        <f t="shared" si="1"/>
        <v>464.4</v>
      </c>
      <c r="O13" s="86">
        <f t="shared" si="1"/>
        <v>464.4</v>
      </c>
      <c r="P13" s="86">
        <f t="shared" si="1"/>
        <v>464.4</v>
      </c>
      <c r="Q13" s="86">
        <f t="shared" si="3"/>
        <v>5572.7999999999993</v>
      </c>
      <c r="R13" s="86"/>
      <c r="T13" s="54" t="s">
        <v>362</v>
      </c>
    </row>
    <row r="14" spans="1:20" x14ac:dyDescent="0.25">
      <c r="A14" s="95"/>
      <c r="Q14" s="86"/>
    </row>
    <row r="15" spans="1:20" x14ac:dyDescent="0.25">
      <c r="A15" s="95"/>
      <c r="Q15" s="86"/>
    </row>
    <row r="16" spans="1:20" x14ac:dyDescent="0.25">
      <c r="A16" s="95"/>
      <c r="Q16" s="86"/>
    </row>
    <row r="17" spans="1:18" x14ac:dyDescent="0.25">
      <c r="A17" s="95"/>
      <c r="Q17" s="86"/>
    </row>
    <row r="18" spans="1:18" x14ac:dyDescent="0.25">
      <c r="A18" s="95"/>
      <c r="Q18" s="86"/>
    </row>
    <row r="19" spans="1:18" x14ac:dyDescent="0.25">
      <c r="C19" s="77">
        <f>SUM(C7:C13)</f>
        <v>48608</v>
      </c>
    </row>
    <row r="20" spans="1:18" s="87" customFormat="1" x14ac:dyDescent="0.25">
      <c r="A20" s="87" t="s">
        <v>206</v>
      </c>
      <c r="B20" s="88"/>
      <c r="C20" s="89"/>
      <c r="D20" s="89"/>
      <c r="E20" s="90">
        <f t="shared" ref="E20:P20" si="4">SUM(E6:E19)</f>
        <v>6807.88</v>
      </c>
      <c r="F20" s="90">
        <f t="shared" si="4"/>
        <v>6807.88</v>
      </c>
      <c r="G20" s="90">
        <f t="shared" si="4"/>
        <v>6807.88</v>
      </c>
      <c r="H20" s="90">
        <f t="shared" si="4"/>
        <v>6807.88</v>
      </c>
      <c r="I20" s="90">
        <f t="shared" si="4"/>
        <v>6807.88</v>
      </c>
      <c r="J20" s="90">
        <f t="shared" si="4"/>
        <v>6807.88</v>
      </c>
      <c r="K20" s="90">
        <f t="shared" si="4"/>
        <v>6807.88</v>
      </c>
      <c r="L20" s="90">
        <f t="shared" si="4"/>
        <v>6807.88</v>
      </c>
      <c r="M20" s="90">
        <f t="shared" si="4"/>
        <v>6807.88</v>
      </c>
      <c r="N20" s="90">
        <f t="shared" si="4"/>
        <v>6807.88</v>
      </c>
      <c r="O20" s="90">
        <f t="shared" si="4"/>
        <v>6807.88</v>
      </c>
      <c r="P20" s="90">
        <f t="shared" si="4"/>
        <v>6807.88</v>
      </c>
      <c r="Q20" s="90">
        <f>SUM(E20:P20)</f>
        <v>81694.559999999998</v>
      </c>
      <c r="R2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="90" zoomScaleNormal="9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18" sqref="K18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74"/>
    <col min="5" max="16" width="9.140625" style="75"/>
    <col min="17" max="17" width="11.5703125" style="75" bestFit="1" customWidth="1"/>
    <col min="18" max="18" width="9.140625" style="75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406</v>
      </c>
    </row>
    <row r="2" spans="1:20" x14ac:dyDescent="0.25">
      <c r="A2" s="12" t="s">
        <v>365</v>
      </c>
    </row>
    <row r="4" spans="1:20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9" t="s">
        <v>359</v>
      </c>
      <c r="S4" s="76" t="s">
        <v>0</v>
      </c>
      <c r="T4" s="76" t="s">
        <v>203</v>
      </c>
    </row>
    <row r="6" spans="1:20" s="24" customFormat="1" x14ac:dyDescent="0.25">
      <c r="A6" s="157" t="s">
        <v>490</v>
      </c>
      <c r="B6" s="165" t="s">
        <v>498</v>
      </c>
      <c r="C6" s="74">
        <v>2850</v>
      </c>
      <c r="D6" s="83">
        <v>26.997894736842106</v>
      </c>
      <c r="E6" s="75">
        <f>52.77%*E21</f>
        <v>24177.182355000004</v>
      </c>
      <c r="F6" s="75">
        <f t="shared" ref="F6:P6" si="0">52.77%*F21</f>
        <v>0</v>
      </c>
      <c r="G6" s="75">
        <f t="shared" si="0"/>
        <v>0</v>
      </c>
      <c r="H6" s="75">
        <f t="shared" si="0"/>
        <v>24177.182355000004</v>
      </c>
      <c r="I6" s="75">
        <f t="shared" si="0"/>
        <v>0</v>
      </c>
      <c r="J6" s="75">
        <f t="shared" si="0"/>
        <v>0</v>
      </c>
      <c r="K6" s="75">
        <f t="shared" si="0"/>
        <v>24177.182355000004</v>
      </c>
      <c r="L6" s="75">
        <f t="shared" si="0"/>
        <v>0</v>
      </c>
      <c r="M6" s="75">
        <f t="shared" si="0"/>
        <v>0</v>
      </c>
      <c r="N6" s="75">
        <f t="shared" si="0"/>
        <v>24177.182355000004</v>
      </c>
      <c r="O6" s="75">
        <f t="shared" si="0"/>
        <v>0</v>
      </c>
      <c r="P6" s="75">
        <f t="shared" si="0"/>
        <v>0</v>
      </c>
      <c r="Q6" s="75">
        <f>SUM(E6:P6)</f>
        <v>96708.729420000018</v>
      </c>
      <c r="R6" s="82"/>
    </row>
    <row r="7" spans="1:20" x14ac:dyDescent="0.25">
      <c r="A7" s="54" t="s">
        <v>491</v>
      </c>
      <c r="B7" s="165" t="s">
        <v>498</v>
      </c>
      <c r="C7" s="80">
        <f>12835+1958+2403</f>
        <v>17196</v>
      </c>
      <c r="D7" s="81">
        <v>16.23</v>
      </c>
      <c r="E7" s="75">
        <f>5.239%*E21</f>
        <v>2400.3080985000001</v>
      </c>
      <c r="F7" s="75">
        <f t="shared" ref="F7:P7" si="1">5.239%*F21</f>
        <v>0</v>
      </c>
      <c r="G7" s="75">
        <f t="shared" si="1"/>
        <v>0</v>
      </c>
      <c r="H7" s="75">
        <f t="shared" si="1"/>
        <v>2400.3080985000001</v>
      </c>
      <c r="I7" s="75">
        <f t="shared" si="1"/>
        <v>0</v>
      </c>
      <c r="J7" s="75">
        <f t="shared" si="1"/>
        <v>0</v>
      </c>
      <c r="K7" s="75">
        <f t="shared" si="1"/>
        <v>2400.3080985000001</v>
      </c>
      <c r="L7" s="75">
        <f t="shared" si="1"/>
        <v>0</v>
      </c>
      <c r="M7" s="75">
        <f t="shared" si="1"/>
        <v>0</v>
      </c>
      <c r="N7" s="75">
        <f t="shared" si="1"/>
        <v>2400.3080985000001</v>
      </c>
      <c r="O7" s="75">
        <f t="shared" si="1"/>
        <v>0</v>
      </c>
      <c r="P7" s="75">
        <f t="shared" si="1"/>
        <v>0</v>
      </c>
      <c r="Q7" s="82">
        <f t="shared" ref="Q7:Q9" si="2">SUM(E7:P7)</f>
        <v>9601.2323940000006</v>
      </c>
    </row>
    <row r="8" spans="1:20" s="24" customFormat="1" x14ac:dyDescent="0.25">
      <c r="A8" s="54" t="s">
        <v>492</v>
      </c>
      <c r="B8" s="165" t="s">
        <v>498</v>
      </c>
      <c r="C8" s="74">
        <v>1240</v>
      </c>
      <c r="D8" s="83">
        <v>21.492967741935484</v>
      </c>
      <c r="E8" s="75">
        <f>2.969%*E21</f>
        <v>1360.2814934999999</v>
      </c>
      <c r="F8" s="75">
        <f t="shared" ref="F8:P8" si="3">2.969%*F21</f>
        <v>0</v>
      </c>
      <c r="G8" s="75">
        <f t="shared" si="3"/>
        <v>0</v>
      </c>
      <c r="H8" s="75">
        <f t="shared" si="3"/>
        <v>1360.2814934999999</v>
      </c>
      <c r="I8" s="75">
        <f t="shared" si="3"/>
        <v>0</v>
      </c>
      <c r="J8" s="75">
        <f t="shared" si="3"/>
        <v>0</v>
      </c>
      <c r="K8" s="75">
        <f t="shared" si="3"/>
        <v>1360.2814934999999</v>
      </c>
      <c r="L8" s="75">
        <f t="shared" si="3"/>
        <v>0</v>
      </c>
      <c r="M8" s="75">
        <f t="shared" si="3"/>
        <v>0</v>
      </c>
      <c r="N8" s="75">
        <f t="shared" si="3"/>
        <v>1360.2814934999999</v>
      </c>
      <c r="O8" s="75">
        <f t="shared" si="3"/>
        <v>0</v>
      </c>
      <c r="P8" s="75">
        <f t="shared" si="3"/>
        <v>0</v>
      </c>
      <c r="Q8" s="75">
        <f t="shared" si="2"/>
        <v>5441.1259739999996</v>
      </c>
      <c r="R8" s="82"/>
    </row>
    <row r="9" spans="1:20" x14ac:dyDescent="0.25">
      <c r="A9" s="54" t="s">
        <v>493</v>
      </c>
      <c r="B9" s="165" t="s">
        <v>498</v>
      </c>
      <c r="C9" s="80">
        <v>976</v>
      </c>
      <c r="D9" s="81">
        <v>24.041065573770489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82">
        <f t="shared" si="2"/>
        <v>0</v>
      </c>
    </row>
    <row r="10" spans="1:20" s="24" customFormat="1" x14ac:dyDescent="0.25">
      <c r="A10" s="54" t="s">
        <v>494</v>
      </c>
      <c r="B10" s="165" t="s">
        <v>498</v>
      </c>
      <c r="C10" s="74">
        <v>1216</v>
      </c>
      <c r="D10" s="83">
        <v>24.345592105263155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f>SUM(E10:P10)</f>
        <v>0</v>
      </c>
      <c r="R10" s="82"/>
    </row>
    <row r="11" spans="1:20" x14ac:dyDescent="0.25">
      <c r="A11" s="54" t="s">
        <v>495</v>
      </c>
      <c r="B11" s="165" t="s">
        <v>498</v>
      </c>
      <c r="C11" s="74">
        <v>24000</v>
      </c>
      <c r="D11" s="74">
        <v>16</v>
      </c>
      <c r="E11" s="75">
        <v>1117.06</v>
      </c>
      <c r="F11" s="75">
        <f>E11</f>
        <v>1117.06</v>
      </c>
      <c r="G11" s="75">
        <f t="shared" ref="G11:P11" si="4">F11</f>
        <v>1117.06</v>
      </c>
      <c r="H11" s="75">
        <f t="shared" si="4"/>
        <v>1117.06</v>
      </c>
      <c r="I11" s="75">
        <f t="shared" si="4"/>
        <v>1117.06</v>
      </c>
      <c r="J11" s="75">
        <f t="shared" si="4"/>
        <v>1117.06</v>
      </c>
      <c r="K11" s="75">
        <f t="shared" si="4"/>
        <v>1117.06</v>
      </c>
      <c r="L11" s="75">
        <f t="shared" si="4"/>
        <v>1117.06</v>
      </c>
      <c r="M11" s="75">
        <f t="shared" si="4"/>
        <v>1117.06</v>
      </c>
      <c r="N11" s="75">
        <f t="shared" si="4"/>
        <v>1117.06</v>
      </c>
      <c r="O11" s="75">
        <f t="shared" si="4"/>
        <v>1117.06</v>
      </c>
      <c r="P11" s="75">
        <f t="shared" si="4"/>
        <v>1117.06</v>
      </c>
      <c r="Q11" s="75">
        <f t="shared" ref="Q11:Q13" si="5">SUM(E11:P11)</f>
        <v>13404.719999999996</v>
      </c>
      <c r="T11" s="31" t="s">
        <v>360</v>
      </c>
    </row>
    <row r="12" spans="1:20" s="24" customFormat="1" x14ac:dyDescent="0.25">
      <c r="A12" s="54" t="s">
        <v>496</v>
      </c>
      <c r="B12" s="165" t="s">
        <v>498</v>
      </c>
      <c r="C12" s="77">
        <v>2000</v>
      </c>
      <c r="D12" s="74">
        <v>21.995999999999999</v>
      </c>
      <c r="E12" s="75">
        <v>2290.39</v>
      </c>
      <c r="F12" s="75">
        <f>E12</f>
        <v>2290.39</v>
      </c>
      <c r="G12" s="75">
        <f t="shared" ref="G12:P12" si="6">F12</f>
        <v>2290.39</v>
      </c>
      <c r="H12" s="75">
        <f t="shared" si="6"/>
        <v>2290.39</v>
      </c>
      <c r="I12" s="75">
        <f t="shared" si="6"/>
        <v>2290.39</v>
      </c>
      <c r="J12" s="75">
        <f t="shared" si="6"/>
        <v>2290.39</v>
      </c>
      <c r="K12" s="75">
        <f t="shared" si="6"/>
        <v>2290.39</v>
      </c>
      <c r="L12" s="75">
        <f t="shared" si="6"/>
        <v>2290.39</v>
      </c>
      <c r="M12" s="75">
        <f t="shared" si="6"/>
        <v>2290.39</v>
      </c>
      <c r="N12" s="75">
        <f t="shared" si="6"/>
        <v>2290.39</v>
      </c>
      <c r="O12" s="75">
        <f t="shared" si="6"/>
        <v>2290.39</v>
      </c>
      <c r="P12" s="75">
        <f t="shared" si="6"/>
        <v>2290.39</v>
      </c>
      <c r="Q12" s="75">
        <f t="shared" si="5"/>
        <v>27484.679999999997</v>
      </c>
      <c r="R12" s="82"/>
      <c r="T12" s="24" t="s">
        <v>361</v>
      </c>
    </row>
    <row r="13" spans="1:20" x14ac:dyDescent="0.25">
      <c r="A13" s="161" t="s">
        <v>497</v>
      </c>
      <c r="B13" s="165" t="s">
        <v>498</v>
      </c>
      <c r="C13" s="84">
        <v>1980</v>
      </c>
      <c r="D13" s="84">
        <v>20</v>
      </c>
      <c r="E13" s="75">
        <f>4.2%*E21</f>
        <v>1924.2783000000002</v>
      </c>
      <c r="F13" s="75">
        <f t="shared" ref="F13:P13" si="7">4.2%*F21</f>
        <v>0</v>
      </c>
      <c r="G13" s="75">
        <f t="shared" si="7"/>
        <v>0</v>
      </c>
      <c r="H13" s="75">
        <f t="shared" si="7"/>
        <v>1924.2783000000002</v>
      </c>
      <c r="I13" s="75">
        <f t="shared" si="7"/>
        <v>0</v>
      </c>
      <c r="J13" s="75">
        <f t="shared" si="7"/>
        <v>0</v>
      </c>
      <c r="K13" s="75">
        <f t="shared" si="7"/>
        <v>1924.2783000000002</v>
      </c>
      <c r="L13" s="75">
        <f t="shared" si="7"/>
        <v>0</v>
      </c>
      <c r="M13" s="75">
        <f t="shared" si="7"/>
        <v>0</v>
      </c>
      <c r="N13" s="75">
        <f t="shared" si="7"/>
        <v>1924.2783000000002</v>
      </c>
      <c r="O13" s="75">
        <f t="shared" si="7"/>
        <v>0</v>
      </c>
      <c r="P13" s="75">
        <f t="shared" si="7"/>
        <v>0</v>
      </c>
      <c r="Q13" s="85">
        <f t="shared" si="5"/>
        <v>7697.1132000000007</v>
      </c>
      <c r="T13" s="31" t="s">
        <v>362</v>
      </c>
    </row>
    <row r="14" spans="1:20" x14ac:dyDescent="0.25">
      <c r="C14" s="77">
        <f>SUM(C7:C13)</f>
        <v>48608</v>
      </c>
    </row>
    <row r="15" spans="1:20" x14ac:dyDescent="0.25">
      <c r="A15" s="87" t="s">
        <v>206</v>
      </c>
      <c r="B15" s="88"/>
      <c r="C15" s="89"/>
      <c r="D15" s="89"/>
      <c r="E15" s="90">
        <f>SUM(E6:E14)</f>
        <v>33269.500247000004</v>
      </c>
      <c r="F15" s="90">
        <f>SUM(F6:F14)</f>
        <v>3407.45</v>
      </c>
      <c r="G15" s="90">
        <f>SUM(G6:G14)</f>
        <v>3407.45</v>
      </c>
      <c r="H15" s="90">
        <f>SUM(H6:H14)</f>
        <v>33269.500247000004</v>
      </c>
      <c r="I15" s="90">
        <f>SUM(I6:I14)</f>
        <v>3407.45</v>
      </c>
      <c r="J15" s="90">
        <f>SUM(J6:J14)</f>
        <v>3407.45</v>
      </c>
      <c r="K15" s="90">
        <f>SUM(K6:K14)</f>
        <v>33269.500247000004</v>
      </c>
      <c r="L15" s="90">
        <f>SUM(L6:L14)</f>
        <v>3407.45</v>
      </c>
      <c r="M15" s="90">
        <f>SUM(M6:M14)</f>
        <v>3407.45</v>
      </c>
      <c r="N15" s="90">
        <f>SUM(N6:N14)</f>
        <v>33269.500247000004</v>
      </c>
      <c r="O15" s="90">
        <f>SUM(O6:O14)</f>
        <v>3407.45</v>
      </c>
      <c r="P15" s="90">
        <f>SUM(P6:P14)</f>
        <v>3407.45</v>
      </c>
      <c r="Q15" s="90">
        <f>SUM(E15:P15)</f>
        <v>160337.60098800002</v>
      </c>
    </row>
    <row r="21" spans="1:16" x14ac:dyDescent="0.25">
      <c r="A21" s="95" t="s">
        <v>499</v>
      </c>
      <c r="E21" s="99">
        <v>45816.15</v>
      </c>
      <c r="F21" s="99">
        <v>0</v>
      </c>
      <c r="G21" s="99">
        <v>0</v>
      </c>
      <c r="H21" s="99">
        <v>45816.15</v>
      </c>
      <c r="I21" s="99">
        <v>0</v>
      </c>
      <c r="J21" s="99">
        <v>0</v>
      </c>
      <c r="K21" s="99">
        <v>45816.15</v>
      </c>
      <c r="L21" s="99">
        <v>0</v>
      </c>
      <c r="M21" s="99">
        <v>0</v>
      </c>
      <c r="N21" s="99">
        <v>45816.15</v>
      </c>
      <c r="O21" s="99">
        <v>0</v>
      </c>
      <c r="P21" s="9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1" sqref="A11:E11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74"/>
    <col min="4" max="16" width="9.140625" style="75"/>
    <col min="17" max="17" width="11.5703125" style="75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406</v>
      </c>
    </row>
    <row r="2" spans="1:19" x14ac:dyDescent="0.25">
      <c r="A2" s="12" t="s">
        <v>366</v>
      </c>
    </row>
    <row r="4" spans="1:19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6" t="s">
        <v>0</v>
      </c>
      <c r="S4" s="76" t="s">
        <v>203</v>
      </c>
    </row>
    <row r="6" spans="1:19" s="24" customFormat="1" x14ac:dyDescent="0.25">
      <c r="A6" s="157" t="s">
        <v>490</v>
      </c>
      <c r="B6" s="165" t="s">
        <v>498</v>
      </c>
      <c r="C6" s="74">
        <v>2850</v>
      </c>
      <c r="D6" s="83">
        <v>26.997894736842106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f>SUM(E6:P6)</f>
        <v>0</v>
      </c>
    </row>
    <row r="7" spans="1:19" x14ac:dyDescent="0.25">
      <c r="A7" s="54" t="s">
        <v>491</v>
      </c>
      <c r="B7" s="165" t="s">
        <v>498</v>
      </c>
      <c r="C7" s="80">
        <f>12835+1958+2403</f>
        <v>17196</v>
      </c>
      <c r="D7" s="81">
        <v>16.23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f t="shared" ref="Q7:Q9" si="0">SUM(E7:P7)</f>
        <v>0</v>
      </c>
    </row>
    <row r="8" spans="1:19" s="24" customFormat="1" x14ac:dyDescent="0.25">
      <c r="A8" s="54" t="s">
        <v>492</v>
      </c>
      <c r="B8" s="165" t="s">
        <v>498</v>
      </c>
      <c r="C8" s="74">
        <v>1240</v>
      </c>
      <c r="D8" s="83">
        <v>21.492967741935484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f t="shared" si="0"/>
        <v>0</v>
      </c>
    </row>
    <row r="9" spans="1:19" x14ac:dyDescent="0.25">
      <c r="A9" s="54" t="s">
        <v>493</v>
      </c>
      <c r="B9" s="165" t="s">
        <v>498</v>
      </c>
      <c r="C9" s="80">
        <v>976</v>
      </c>
      <c r="D9" s="81">
        <v>24.041065573770489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f t="shared" si="0"/>
        <v>0</v>
      </c>
    </row>
    <row r="10" spans="1:19" s="24" customFormat="1" x14ac:dyDescent="0.25">
      <c r="A10" s="54" t="s">
        <v>494</v>
      </c>
      <c r="B10" s="165" t="s">
        <v>498</v>
      </c>
      <c r="C10" s="74">
        <v>1216</v>
      </c>
      <c r="D10" s="83">
        <v>24.345592105263155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f>SUM(E10:P10)</f>
        <v>0</v>
      </c>
    </row>
    <row r="11" spans="1:19" x14ac:dyDescent="0.25">
      <c r="A11" s="54" t="s">
        <v>495</v>
      </c>
      <c r="B11" s="165" t="s">
        <v>498</v>
      </c>
      <c r="C11" s="74">
        <v>24000</v>
      </c>
      <c r="D11" s="74">
        <v>16</v>
      </c>
      <c r="E11" s="75">
        <v>207.41</v>
      </c>
      <c r="F11" s="75">
        <v>207.41</v>
      </c>
      <c r="G11" s="75">
        <v>207.41</v>
      </c>
      <c r="H11" s="75">
        <v>207.41</v>
      </c>
      <c r="I11" s="75">
        <v>207.41</v>
      </c>
      <c r="J11" s="75">
        <v>207.41</v>
      </c>
      <c r="K11" s="75">
        <v>207.41</v>
      </c>
      <c r="L11" s="75">
        <v>207.41</v>
      </c>
      <c r="M11" s="75">
        <v>207.41</v>
      </c>
      <c r="N11" s="75">
        <v>207.41</v>
      </c>
      <c r="O11" s="75">
        <v>207.41</v>
      </c>
      <c r="P11" s="75">
        <v>207.41</v>
      </c>
      <c r="Q11" s="75">
        <f t="shared" ref="Q11:Q13" si="1">SUM(E11:P11)</f>
        <v>2488.92</v>
      </c>
    </row>
    <row r="12" spans="1:19" s="24" customFormat="1" x14ac:dyDescent="0.25">
      <c r="A12" s="54" t="s">
        <v>496</v>
      </c>
      <c r="B12" s="165" t="s">
        <v>498</v>
      </c>
      <c r="C12" s="77">
        <v>2000</v>
      </c>
      <c r="D12" s="74">
        <v>21.995999999999999</v>
      </c>
      <c r="E12" s="75">
        <v>102.83</v>
      </c>
      <c r="F12" s="75">
        <f>E12</f>
        <v>102.83</v>
      </c>
      <c r="G12" s="75">
        <f t="shared" ref="G12:P12" si="2">F12</f>
        <v>102.83</v>
      </c>
      <c r="H12" s="75">
        <f t="shared" si="2"/>
        <v>102.83</v>
      </c>
      <c r="I12" s="75">
        <f t="shared" si="2"/>
        <v>102.83</v>
      </c>
      <c r="J12" s="75">
        <f t="shared" si="2"/>
        <v>102.83</v>
      </c>
      <c r="K12" s="75">
        <f t="shared" si="2"/>
        <v>102.83</v>
      </c>
      <c r="L12" s="75">
        <f t="shared" si="2"/>
        <v>102.83</v>
      </c>
      <c r="M12" s="75">
        <f t="shared" si="2"/>
        <v>102.83</v>
      </c>
      <c r="N12" s="75">
        <f t="shared" si="2"/>
        <v>102.83</v>
      </c>
      <c r="O12" s="75">
        <f t="shared" si="2"/>
        <v>102.83</v>
      </c>
      <c r="P12" s="75">
        <f t="shared" si="2"/>
        <v>102.83</v>
      </c>
      <c r="Q12" s="75">
        <f t="shared" si="1"/>
        <v>1233.96</v>
      </c>
    </row>
    <row r="13" spans="1:19" x14ac:dyDescent="0.25">
      <c r="A13" s="161" t="s">
        <v>497</v>
      </c>
      <c r="B13" s="165" t="s">
        <v>498</v>
      </c>
      <c r="C13" s="84">
        <v>1980</v>
      </c>
      <c r="D13" s="84">
        <v>20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f t="shared" si="1"/>
        <v>0</v>
      </c>
    </row>
    <row r="14" spans="1:19" x14ac:dyDescent="0.25">
      <c r="A14" s="95"/>
      <c r="D14" s="74"/>
    </row>
    <row r="15" spans="1:19" x14ac:dyDescent="0.25">
      <c r="A15" s="95"/>
      <c r="D15" s="74"/>
    </row>
    <row r="16" spans="1:19" x14ac:dyDescent="0.25">
      <c r="C16" s="77">
        <f>SUM(C7:C13)</f>
        <v>48608</v>
      </c>
      <c r="D16" s="74"/>
    </row>
    <row r="17" spans="1:17" x14ac:dyDescent="0.25">
      <c r="A17" s="87" t="s">
        <v>206</v>
      </c>
      <c r="B17" s="88"/>
      <c r="C17" s="89"/>
      <c r="D17" s="89"/>
      <c r="E17" s="90">
        <f t="shared" ref="E17:P17" si="3">SUM(E6:E16)</f>
        <v>310.24</v>
      </c>
      <c r="F17" s="90">
        <f t="shared" si="3"/>
        <v>310.24</v>
      </c>
      <c r="G17" s="90">
        <f t="shared" si="3"/>
        <v>310.24</v>
      </c>
      <c r="H17" s="90">
        <f t="shared" si="3"/>
        <v>310.24</v>
      </c>
      <c r="I17" s="90">
        <f t="shared" si="3"/>
        <v>310.24</v>
      </c>
      <c r="J17" s="90">
        <f t="shared" si="3"/>
        <v>310.24</v>
      </c>
      <c r="K17" s="90">
        <f t="shared" si="3"/>
        <v>310.24</v>
      </c>
      <c r="L17" s="90">
        <f t="shared" si="3"/>
        <v>310.24</v>
      </c>
      <c r="M17" s="90">
        <f t="shared" si="3"/>
        <v>310.24</v>
      </c>
      <c r="N17" s="90">
        <f t="shared" si="3"/>
        <v>310.24</v>
      </c>
      <c r="O17" s="90">
        <f t="shared" si="3"/>
        <v>310.24</v>
      </c>
      <c r="P17" s="90">
        <f t="shared" si="3"/>
        <v>310.24</v>
      </c>
      <c r="Q17" s="90">
        <f>SUM(E17:P17)</f>
        <v>3722.8799999999992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17" customFormat="1" x14ac:dyDescent="0.25">
      <c r="A1" s="116" t="s">
        <v>445</v>
      </c>
      <c r="B1" s="116" t="s">
        <v>446</v>
      </c>
      <c r="C1" s="116" t="s">
        <v>447</v>
      </c>
      <c r="D1" s="116" t="s">
        <v>448</v>
      </c>
      <c r="E1" s="116" t="s">
        <v>449</v>
      </c>
      <c r="F1" s="116" t="s">
        <v>450</v>
      </c>
      <c r="G1" s="116" t="s">
        <v>451</v>
      </c>
      <c r="H1" s="116" t="s">
        <v>452</v>
      </c>
    </row>
    <row r="2" spans="1:8" x14ac:dyDescent="0.25">
      <c r="A2" s="118"/>
      <c r="B2" s="119"/>
      <c r="C2" s="119"/>
      <c r="D2" s="119"/>
      <c r="E2" s="120"/>
      <c r="F2" s="120"/>
      <c r="G2" s="121"/>
      <c r="H2" s="122"/>
    </row>
    <row r="3" spans="1:8" ht="26.25" x14ac:dyDescent="0.25">
      <c r="A3" s="115" t="s">
        <v>453</v>
      </c>
      <c r="B3" s="123" t="s">
        <v>454</v>
      </c>
      <c r="C3" s="124" t="s">
        <v>455</v>
      </c>
      <c r="D3" s="124">
        <v>2018</v>
      </c>
      <c r="E3" s="125">
        <v>48000</v>
      </c>
      <c r="F3" s="126" t="s">
        <v>456</v>
      </c>
      <c r="G3" s="127" t="s">
        <v>457</v>
      </c>
      <c r="H3" s="128">
        <v>43191</v>
      </c>
    </row>
    <row r="4" spans="1:8" x14ac:dyDescent="0.25">
      <c r="A4" s="115" t="s">
        <v>444</v>
      </c>
      <c r="B4" s="123" t="s">
        <v>458</v>
      </c>
      <c r="C4" s="124" t="s">
        <v>455</v>
      </c>
      <c r="D4" s="124">
        <v>2017</v>
      </c>
      <c r="E4" s="125">
        <v>75000</v>
      </c>
      <c r="F4" s="126" t="s">
        <v>456</v>
      </c>
      <c r="G4" s="127" t="s">
        <v>459</v>
      </c>
      <c r="H4" s="128">
        <v>42507</v>
      </c>
    </row>
    <row r="5" spans="1:8" x14ac:dyDescent="0.25">
      <c r="A5" s="115" t="s">
        <v>460</v>
      </c>
      <c r="B5" s="123" t="s">
        <v>461</v>
      </c>
      <c r="C5" s="124" t="s">
        <v>462</v>
      </c>
      <c r="D5" s="124">
        <v>2018</v>
      </c>
      <c r="E5" s="125">
        <v>50000</v>
      </c>
      <c r="F5" s="126" t="s">
        <v>456</v>
      </c>
      <c r="G5" s="127" t="s">
        <v>463</v>
      </c>
      <c r="H5" s="128">
        <v>42508</v>
      </c>
    </row>
    <row r="6" spans="1:8" x14ac:dyDescent="0.25">
      <c r="A6" s="115"/>
      <c r="B6" s="123"/>
      <c r="C6" s="124"/>
      <c r="D6" s="124"/>
      <c r="E6" s="125"/>
      <c r="F6" s="126"/>
      <c r="G6" s="127"/>
      <c r="H6" s="128"/>
    </row>
    <row r="7" spans="1:8" x14ac:dyDescent="0.25">
      <c r="A7" s="115"/>
      <c r="B7" s="123"/>
      <c r="C7" s="124"/>
      <c r="D7" s="124"/>
      <c r="E7" s="125"/>
      <c r="F7" s="126"/>
      <c r="G7" s="127"/>
      <c r="H7" s="128"/>
    </row>
    <row r="8" spans="1:8" x14ac:dyDescent="0.25">
      <c r="A8" s="115"/>
      <c r="B8" s="123"/>
      <c r="C8" s="124"/>
      <c r="D8" s="124"/>
      <c r="E8" s="125"/>
      <c r="F8" s="126"/>
      <c r="G8" s="127"/>
      <c r="H8" s="128"/>
    </row>
    <row r="9" spans="1:8" ht="54" customHeight="1" x14ac:dyDescent="0.25">
      <c r="A9" s="115"/>
      <c r="B9" s="123"/>
      <c r="C9" s="124"/>
      <c r="D9" s="124"/>
      <c r="E9" s="125"/>
      <c r="F9" s="126"/>
      <c r="G9" s="127"/>
      <c r="H9" s="128"/>
    </row>
    <row r="10" spans="1:8" x14ac:dyDescent="0.25">
      <c r="A10" s="115"/>
      <c r="B10" s="123"/>
      <c r="C10" s="124"/>
      <c r="D10" s="124"/>
      <c r="E10" s="125"/>
      <c r="F10" s="126"/>
      <c r="G10" s="127"/>
      <c r="H10" s="128"/>
    </row>
    <row r="11" spans="1:8" x14ac:dyDescent="0.25">
      <c r="A11" s="115"/>
      <c r="B11" s="123"/>
      <c r="C11" s="124"/>
      <c r="D11" s="124"/>
      <c r="E11" s="125"/>
      <c r="F11" s="126"/>
      <c r="G11" s="127"/>
      <c r="H11" s="128"/>
    </row>
    <row r="12" spans="1:8" x14ac:dyDescent="0.25">
      <c r="A12" s="115"/>
      <c r="B12" s="123"/>
      <c r="C12" s="124"/>
      <c r="D12" s="124"/>
      <c r="E12" s="125"/>
      <c r="F12" s="126"/>
      <c r="G12" s="127"/>
      <c r="H12" s="128"/>
    </row>
    <row r="13" spans="1:8" x14ac:dyDescent="0.25">
      <c r="A13" s="115"/>
      <c r="B13" s="123"/>
      <c r="C13" s="124"/>
      <c r="D13" s="124"/>
      <c r="E13" s="125"/>
      <c r="F13" s="126"/>
      <c r="G13" s="127"/>
      <c r="H13" s="128"/>
    </row>
    <row r="14" spans="1:8" x14ac:dyDescent="0.25">
      <c r="A14" s="115"/>
      <c r="B14" s="123"/>
      <c r="C14" s="124"/>
      <c r="D14" s="124"/>
      <c r="E14" s="125"/>
      <c r="F14" s="126"/>
      <c r="G14" s="127"/>
      <c r="H14" s="128"/>
    </row>
    <row r="15" spans="1:8" x14ac:dyDescent="0.25">
      <c r="A15" s="115"/>
      <c r="B15" s="123"/>
      <c r="C15" s="124"/>
      <c r="D15" s="124"/>
      <c r="E15" s="125"/>
      <c r="F15" s="126"/>
      <c r="G15" s="127"/>
      <c r="H15" s="128"/>
    </row>
    <row r="16" spans="1:8" x14ac:dyDescent="0.25">
      <c r="A16" s="115"/>
      <c r="B16" s="123"/>
      <c r="C16" s="124"/>
      <c r="D16" s="124"/>
      <c r="E16" s="125"/>
      <c r="F16" s="126"/>
      <c r="G16" s="127"/>
      <c r="H16" s="128"/>
    </row>
    <row r="17" spans="1:8" x14ac:dyDescent="0.25">
      <c r="A17" s="115"/>
      <c r="B17" s="123"/>
      <c r="C17" s="124"/>
      <c r="D17" s="124"/>
      <c r="E17" s="125"/>
      <c r="F17" s="126"/>
      <c r="G17" s="127"/>
      <c r="H17" s="128"/>
    </row>
    <row r="18" spans="1:8" x14ac:dyDescent="0.25">
      <c r="A18" s="115"/>
      <c r="B18" s="123"/>
      <c r="C18" s="124"/>
      <c r="D18" s="124"/>
      <c r="E18" s="125"/>
      <c r="F18" s="126"/>
      <c r="G18" s="127"/>
      <c r="H18" s="128"/>
    </row>
    <row r="19" spans="1:8" x14ac:dyDescent="0.25">
      <c r="A19" s="115"/>
      <c r="B19" s="123"/>
      <c r="C19" s="124"/>
      <c r="D19" s="124"/>
      <c r="E19" s="125"/>
      <c r="F19" s="126"/>
      <c r="G19" s="127"/>
      <c r="H19" s="128"/>
    </row>
    <row r="20" spans="1:8" x14ac:dyDescent="0.25">
      <c r="A20" s="129"/>
      <c r="B20" s="129"/>
      <c r="C20" s="129"/>
      <c r="D20" s="129"/>
      <c r="E20" s="129"/>
      <c r="F20" s="129"/>
      <c r="G20" s="129"/>
      <c r="H20" s="129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D18" sqref="D18"/>
    </sheetView>
  </sheetViews>
  <sheetFormatPr defaultRowHeight="15" x14ac:dyDescent="0.25"/>
  <cols>
    <col min="1" max="1" width="9.7109375" bestFit="1" customWidth="1"/>
    <col min="2" max="2" width="35.8554687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181" t="s">
        <v>376</v>
      </c>
      <c r="B1" s="181"/>
      <c r="C1" s="181"/>
      <c r="D1" s="181"/>
      <c r="E1" s="181"/>
      <c r="F1" s="181"/>
    </row>
    <row r="2" spans="1:10" ht="15.75" customHeight="1" x14ac:dyDescent="0.25">
      <c r="A2" s="181"/>
      <c r="B2" s="181"/>
      <c r="C2" s="181"/>
      <c r="D2" s="181"/>
      <c r="E2" s="181"/>
      <c r="F2" s="181"/>
    </row>
    <row r="3" spans="1:10" x14ac:dyDescent="0.25">
      <c r="A3" t="s">
        <v>474</v>
      </c>
      <c r="B3" t="s">
        <v>472</v>
      </c>
      <c r="C3" t="s">
        <v>526</v>
      </c>
      <c r="D3" t="s">
        <v>473</v>
      </c>
      <c r="E3" t="s">
        <v>471</v>
      </c>
      <c r="F3" t="s">
        <v>470</v>
      </c>
    </row>
    <row r="4" spans="1:10" x14ac:dyDescent="0.25">
      <c r="A4" s="135" t="s">
        <v>502</v>
      </c>
      <c r="B4" s="134" t="s">
        <v>503</v>
      </c>
      <c r="C4" s="169">
        <v>100000</v>
      </c>
      <c r="D4" s="167">
        <v>0.10588</v>
      </c>
      <c r="E4" s="110">
        <f>$E$18*D4</f>
        <v>-25411.200000000001</v>
      </c>
      <c r="F4" s="110">
        <f>D4*$F$18</f>
        <v>-2117.6</v>
      </c>
      <c r="I4" s="135"/>
      <c r="J4" s="5"/>
    </row>
    <row r="5" spans="1:10" x14ac:dyDescent="0.25">
      <c r="A5" s="135" t="s">
        <v>482</v>
      </c>
      <c r="B5" s="132" t="s">
        <v>483</v>
      </c>
      <c r="C5" s="169">
        <v>100000</v>
      </c>
      <c r="D5" s="168">
        <v>7.059E-2</v>
      </c>
      <c r="E5" s="110">
        <f>$E$18*D5</f>
        <v>-16941.599999999999</v>
      </c>
      <c r="F5" s="110">
        <f>D5*$F$18</f>
        <v>-1411.8</v>
      </c>
      <c r="I5" s="135"/>
      <c r="J5" s="5"/>
    </row>
    <row r="6" spans="1:10" x14ac:dyDescent="0.25">
      <c r="A6" s="135" t="s">
        <v>504</v>
      </c>
      <c r="B6" s="134" t="s">
        <v>505</v>
      </c>
      <c r="C6" s="169">
        <v>100000</v>
      </c>
      <c r="D6" s="168">
        <v>7.059E-2</v>
      </c>
      <c r="E6" s="110">
        <f>$E$18*D6</f>
        <v>-16941.599999999999</v>
      </c>
      <c r="F6" s="110">
        <f>D6*$F$18</f>
        <v>-1411.8</v>
      </c>
      <c r="I6" s="135"/>
      <c r="J6" s="5"/>
    </row>
    <row r="7" spans="1:10" x14ac:dyDescent="0.25">
      <c r="A7" s="135" t="s">
        <v>506</v>
      </c>
      <c r="B7" s="132" t="s">
        <v>507</v>
      </c>
      <c r="C7" s="169">
        <v>100000</v>
      </c>
      <c r="D7" s="168">
        <v>7.059E-2</v>
      </c>
      <c r="E7" s="110">
        <f>$E$18*D7</f>
        <v>-16941.599999999999</v>
      </c>
      <c r="F7" s="110">
        <f>D7*$F$18</f>
        <v>-1411.8</v>
      </c>
      <c r="I7" s="135"/>
      <c r="J7" s="5"/>
    </row>
    <row r="8" spans="1:10" x14ac:dyDescent="0.25">
      <c r="A8" s="135" t="s">
        <v>508</v>
      </c>
      <c r="B8" s="134" t="s">
        <v>509</v>
      </c>
      <c r="C8" s="169">
        <v>100000</v>
      </c>
      <c r="D8" s="168">
        <v>7.059E-2</v>
      </c>
      <c r="E8" s="110">
        <f>$E$18*D8</f>
        <v>-16941.599999999999</v>
      </c>
      <c r="F8" s="110">
        <f>D8*$F$18</f>
        <v>-1411.8</v>
      </c>
      <c r="I8" s="135"/>
      <c r="J8" s="5"/>
    </row>
    <row r="9" spans="1:10" x14ac:dyDescent="0.25">
      <c r="A9" s="135" t="s">
        <v>157</v>
      </c>
      <c r="B9" s="132" t="s">
        <v>484</v>
      </c>
      <c r="C9" s="169">
        <v>250000</v>
      </c>
      <c r="D9" s="168">
        <v>0.27646999999999999</v>
      </c>
      <c r="E9" s="110">
        <f>$E$18*D9</f>
        <v>-66352.800000000003</v>
      </c>
      <c r="F9" s="110">
        <f>D9*$F$18</f>
        <v>-5529.4</v>
      </c>
      <c r="I9" s="135"/>
      <c r="J9" s="5"/>
    </row>
    <row r="10" spans="1:10" x14ac:dyDescent="0.25">
      <c r="A10" s="135" t="s">
        <v>510</v>
      </c>
      <c r="B10" s="134" t="s">
        <v>511</v>
      </c>
      <c r="C10" s="169">
        <v>25000</v>
      </c>
      <c r="D10" s="167">
        <v>3.5299999999999998E-2</v>
      </c>
      <c r="E10" s="110">
        <f>$E$18*D10</f>
        <v>-8472</v>
      </c>
      <c r="F10" s="110">
        <f>D10*$F$18</f>
        <v>-706</v>
      </c>
      <c r="I10" s="135"/>
      <c r="J10" s="5"/>
    </row>
    <row r="11" spans="1:10" x14ac:dyDescent="0.25">
      <c r="A11" s="135" t="s">
        <v>512</v>
      </c>
      <c r="B11" s="132" t="s">
        <v>513</v>
      </c>
      <c r="C11" s="169">
        <v>25000</v>
      </c>
      <c r="D11" s="167">
        <v>3.5299999999999998E-2</v>
      </c>
      <c r="E11" s="110">
        <f>$E$18*D11</f>
        <v>-8472</v>
      </c>
      <c r="F11" s="110">
        <f>D11*$F$18</f>
        <v>-706</v>
      </c>
      <c r="I11" s="135"/>
      <c r="J11" s="5"/>
    </row>
    <row r="12" spans="1:10" x14ac:dyDescent="0.25">
      <c r="A12" s="135" t="s">
        <v>514</v>
      </c>
      <c r="B12" s="134" t="s">
        <v>515</v>
      </c>
      <c r="C12" s="169">
        <v>50000</v>
      </c>
      <c r="D12" s="167">
        <v>3.5290000000000002E-2</v>
      </c>
      <c r="E12" s="110">
        <f>$E$18*D12</f>
        <v>-8469.6</v>
      </c>
      <c r="F12" s="110">
        <f>D12*$F$18</f>
        <v>-705.80000000000007</v>
      </c>
      <c r="I12" s="135"/>
      <c r="J12" s="5"/>
    </row>
    <row r="13" spans="1:10" x14ac:dyDescent="0.25">
      <c r="A13" s="166" t="s">
        <v>516</v>
      </c>
      <c r="B13" s="134" t="s">
        <v>517</v>
      </c>
      <c r="C13" s="169">
        <v>25000</v>
      </c>
      <c r="D13" s="168">
        <v>1.7649999999999999E-2</v>
      </c>
      <c r="E13" s="110">
        <f>$E$18*D13</f>
        <v>-4236</v>
      </c>
      <c r="F13" s="110">
        <f>D13*$F$18</f>
        <v>-353</v>
      </c>
      <c r="I13" s="166"/>
      <c r="J13" s="5"/>
    </row>
    <row r="14" spans="1:10" x14ac:dyDescent="0.25">
      <c r="A14" s="166" t="s">
        <v>518</v>
      </c>
      <c r="B14" s="134" t="s">
        <v>519</v>
      </c>
      <c r="C14" s="169">
        <v>50000</v>
      </c>
      <c r="D14" s="167">
        <v>3.5290000000000002E-2</v>
      </c>
      <c r="E14" s="110">
        <f>$E$18*D14</f>
        <v>-8469.6</v>
      </c>
      <c r="F14" s="110">
        <f>D14*$F$18</f>
        <v>-705.80000000000007</v>
      </c>
      <c r="I14" s="166"/>
      <c r="J14" s="5"/>
    </row>
    <row r="15" spans="1:10" x14ac:dyDescent="0.25">
      <c r="A15" s="166" t="s">
        <v>520</v>
      </c>
      <c r="B15" s="134" t="s">
        <v>521</v>
      </c>
      <c r="C15" s="169">
        <v>50000</v>
      </c>
      <c r="D15" s="167">
        <v>3.5290000000000002E-2</v>
      </c>
      <c r="E15" s="110">
        <f t="shared" ref="E15:E17" si="0">$E$18*D15</f>
        <v>-8469.6</v>
      </c>
      <c r="F15" s="110">
        <f t="shared" ref="F15:F17" si="1">D15*$F$18</f>
        <v>-705.80000000000007</v>
      </c>
      <c r="I15" s="166"/>
      <c r="J15" s="5"/>
    </row>
    <row r="16" spans="1:10" x14ac:dyDescent="0.25">
      <c r="A16" s="166" t="s">
        <v>522</v>
      </c>
      <c r="B16" s="134" t="s">
        <v>523</v>
      </c>
      <c r="C16" s="169">
        <v>50000</v>
      </c>
      <c r="D16" s="168">
        <v>7.0580000000000004E-2</v>
      </c>
      <c r="E16" s="110">
        <f t="shared" si="0"/>
        <v>-16939.2</v>
      </c>
      <c r="F16" s="110">
        <f t="shared" si="1"/>
        <v>-1411.6000000000001</v>
      </c>
      <c r="I16" s="166"/>
      <c r="J16" s="5"/>
    </row>
    <row r="17" spans="1:10" x14ac:dyDescent="0.25">
      <c r="A17" s="166" t="s">
        <v>524</v>
      </c>
      <c r="B17" s="134" t="s">
        <v>525</v>
      </c>
      <c r="C17" s="169">
        <v>100000</v>
      </c>
      <c r="D17" s="168">
        <v>7.059E-2</v>
      </c>
      <c r="E17" s="110">
        <f t="shared" si="0"/>
        <v>-16941.599999999999</v>
      </c>
      <c r="F17" s="110">
        <f t="shared" si="1"/>
        <v>-1411.8</v>
      </c>
      <c r="I17" s="166"/>
      <c r="J17" s="5"/>
    </row>
    <row r="18" spans="1:10" x14ac:dyDescent="0.25">
      <c r="B18" s="131" t="s">
        <v>469</v>
      </c>
      <c r="C18" s="170">
        <f>SUM(C4:C17)</f>
        <v>1125000</v>
      </c>
      <c r="D18" s="183">
        <f>SUM(D4:D17)</f>
        <v>1</v>
      </c>
      <c r="E18" s="130">
        <f>F18*12</f>
        <v>-240000</v>
      </c>
      <c r="F18" s="130">
        <v>-20000</v>
      </c>
      <c r="G18" t="s">
        <v>485</v>
      </c>
    </row>
    <row r="21" spans="1:10" x14ac:dyDescent="0.25">
      <c r="B21" t="s">
        <v>468</v>
      </c>
      <c r="C21" s="110"/>
    </row>
    <row r="33" spans="3:3" x14ac:dyDescent="0.25">
      <c r="C33" s="110"/>
    </row>
    <row r="34" spans="3:3" x14ac:dyDescent="0.25">
      <c r="C34" s="110"/>
    </row>
    <row r="35" spans="3:3" x14ac:dyDescent="0.25">
      <c r="C35" s="110"/>
    </row>
    <row r="36" spans="3:3" x14ac:dyDescent="0.25">
      <c r="C36" s="110"/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Loan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2016-10-25T17:51:07Z</cp:lastPrinted>
  <dcterms:created xsi:type="dcterms:W3CDTF">2016-04-01T21:07:40Z</dcterms:created>
  <dcterms:modified xsi:type="dcterms:W3CDTF">2016-10-25T20:09:11Z</dcterms:modified>
</cp:coreProperties>
</file>