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Shared\PROPERTIES\Simon\Budgets\"/>
    </mc:Choice>
  </mc:AlternateContent>
  <bookViews>
    <workbookView xWindow="0" yWindow="0" windowWidth="14370" windowHeight="12360" tabRatio="659" firstSheet="2" activeTab="2"/>
  </bookViews>
  <sheets>
    <sheet name="cf" sheetId="4" state="hidden" r:id="rId1"/>
    <sheet name="Op Budget 2016" sheetId="6" state="hidden" r:id="rId2"/>
    <sheet name="2017 Projected" sheetId="5" r:id="rId3"/>
    <sheet name="Min Rent 2017" sheetId="9" r:id="rId4"/>
    <sheet name="CAM est 2017" sheetId="10" r:id="rId5"/>
    <sheet name="RETaxes 2017" sheetId="11" r:id="rId6"/>
    <sheet name="Ins 2016" sheetId="12" r:id="rId7"/>
    <sheet name="CapEx 2016" sheetId="14" r:id="rId8"/>
    <sheet name="Distributions" sheetId="15" r:id="rId9"/>
    <sheet name="Loan" sheetId="13" r:id="rId10"/>
    <sheet name="Assumptions" sheetId="7" r:id="rId11"/>
    <sheet name="Broker's Comm" sheetId="8" r:id="rId12"/>
  </sheets>
  <externalReferences>
    <externalReference r:id="rId13"/>
    <externalReference r:id="rId14"/>
  </externalReferences>
  <definedNames>
    <definedName name="_xlnm.Print_Area" localSheetId="2">'2017 Projected'!$A$1:$S$242</definedName>
    <definedName name="_xlnm.Print_Area" localSheetId="8">Distributions!$A$1:$F$18</definedName>
    <definedName name="_xlnm.Print_Titles" localSheetId="2">'2017 Projected'!$1:$5</definedName>
    <definedName name="_xlnm.Print_Titles" localSheetId="0">cf!$1:$5</definedName>
  </definedNames>
  <calcPr calcId="152511"/>
</workbook>
</file>

<file path=xl/calcChain.xml><?xml version="1.0" encoding="utf-8"?>
<calcChain xmlns="http://schemas.openxmlformats.org/spreadsheetml/2006/main">
  <c r="P118" i="5" l="1"/>
  <c r="P107" i="5" l="1"/>
  <c r="F175" i="5"/>
  <c r="G175" i="5"/>
  <c r="E175" i="5"/>
  <c r="P116" i="5"/>
  <c r="P105" i="5"/>
  <c r="H111" i="5"/>
  <c r="G111" i="5"/>
  <c r="Q107" i="5"/>
  <c r="R107" i="5"/>
  <c r="Q60" i="5"/>
  <c r="Q61" i="5"/>
  <c r="O61" i="5"/>
  <c r="N61" i="5"/>
  <c r="M61" i="5"/>
  <c r="L61" i="5"/>
  <c r="K61" i="5"/>
  <c r="J61" i="5"/>
  <c r="I61" i="5"/>
  <c r="H61" i="5"/>
  <c r="G61" i="5"/>
  <c r="F61" i="5"/>
  <c r="E61" i="5"/>
  <c r="O60" i="5"/>
  <c r="N60" i="5"/>
  <c r="M60" i="5"/>
  <c r="L60" i="5"/>
  <c r="K60" i="5"/>
  <c r="J60" i="5"/>
  <c r="I60" i="5"/>
  <c r="H60" i="5"/>
  <c r="G60" i="5"/>
  <c r="F60" i="5"/>
  <c r="E60" i="5"/>
  <c r="O59" i="5"/>
  <c r="N59" i="5"/>
  <c r="M59" i="5"/>
  <c r="L59" i="5"/>
  <c r="K59" i="5"/>
  <c r="J59" i="5"/>
  <c r="I59" i="5"/>
  <c r="H59" i="5"/>
  <c r="G59" i="5"/>
  <c r="F59" i="5"/>
  <c r="E59" i="5"/>
  <c r="O58" i="5"/>
  <c r="N58" i="5"/>
  <c r="M58" i="5"/>
  <c r="L58" i="5"/>
  <c r="K58" i="5"/>
  <c r="J58" i="5"/>
  <c r="I58" i="5"/>
  <c r="H58" i="5"/>
  <c r="G58" i="5"/>
  <c r="F58" i="5"/>
  <c r="E58" i="5"/>
  <c r="O57" i="5"/>
  <c r="N57" i="5"/>
  <c r="M57" i="5"/>
  <c r="L57" i="5"/>
  <c r="K57" i="5"/>
  <c r="J57" i="5"/>
  <c r="I57" i="5"/>
  <c r="H57" i="5"/>
  <c r="G57" i="5"/>
  <c r="F57" i="5"/>
  <c r="E57" i="5"/>
  <c r="O56" i="5"/>
  <c r="N56" i="5"/>
  <c r="M56" i="5"/>
  <c r="L56" i="5"/>
  <c r="K56" i="5"/>
  <c r="J56" i="5"/>
  <c r="I56" i="5"/>
  <c r="H56" i="5"/>
  <c r="G56" i="5"/>
  <c r="F56" i="5"/>
  <c r="E56" i="5"/>
  <c r="O55" i="5"/>
  <c r="N55" i="5"/>
  <c r="M55" i="5"/>
  <c r="L55" i="5"/>
  <c r="K55" i="5"/>
  <c r="J55" i="5"/>
  <c r="I55" i="5"/>
  <c r="H55" i="5"/>
  <c r="G55" i="5"/>
  <c r="F55" i="5"/>
  <c r="E55" i="5"/>
  <c r="D56" i="5"/>
  <c r="P56" i="5" s="1"/>
  <c r="Q56" i="5" s="1"/>
  <c r="D57" i="5"/>
  <c r="D58" i="5"/>
  <c r="P58" i="5" s="1"/>
  <c r="Q58" i="5" s="1"/>
  <c r="D59" i="5"/>
  <c r="D60" i="5"/>
  <c r="P60" i="5" s="1"/>
  <c r="D61" i="5"/>
  <c r="D55" i="5"/>
  <c r="P55" i="5" s="1"/>
  <c r="Q55" i="5" s="1"/>
  <c r="C39" i="5"/>
  <c r="C63" i="5"/>
  <c r="P61" i="5" l="1"/>
  <c r="P59" i="5"/>
  <c r="Q59" i="5" s="1"/>
  <c r="P57" i="5"/>
  <c r="Q57" i="5" s="1"/>
  <c r="P111" i="5"/>
  <c r="P168" i="5" l="1"/>
  <c r="P112" i="5" l="1"/>
  <c r="Q112" i="5" s="1"/>
  <c r="R112" i="5" s="1"/>
  <c r="E119" i="5"/>
  <c r="F119" i="5"/>
  <c r="G119" i="5"/>
  <c r="H119" i="5"/>
  <c r="I119" i="5"/>
  <c r="J119" i="5"/>
  <c r="K119" i="5"/>
  <c r="L119" i="5"/>
  <c r="M119" i="5"/>
  <c r="N119" i="5"/>
  <c r="O119" i="5"/>
  <c r="D119" i="5"/>
  <c r="P110" i="5"/>
  <c r="P113" i="5"/>
  <c r="P114" i="5"/>
  <c r="P115" i="5"/>
  <c r="P117" i="5"/>
  <c r="P109" i="5"/>
  <c r="P108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K117" i="5"/>
  <c r="F117" i="5"/>
  <c r="I117" i="5"/>
  <c r="O60" i="13" l="1"/>
  <c r="O61" i="13"/>
  <c r="O62" i="13"/>
  <c r="O63" i="13"/>
  <c r="O64" i="13"/>
  <c r="O65" i="13"/>
  <c r="O66" i="13"/>
  <c r="O67" i="13"/>
  <c r="O68" i="13"/>
  <c r="O69" i="13"/>
  <c r="O70" i="13"/>
  <c r="O59" i="13"/>
  <c r="F63" i="13"/>
  <c r="I63" i="13" s="1"/>
  <c r="K63" i="13" s="1"/>
  <c r="G63" i="13"/>
  <c r="H63" i="13"/>
  <c r="J64" i="13" s="1"/>
  <c r="J63" i="13"/>
  <c r="L63" i="13"/>
  <c r="F64" i="13" s="1"/>
  <c r="G64" i="13"/>
  <c r="I64" i="13"/>
  <c r="K64" i="13" s="1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H64" i="13" l="1"/>
  <c r="J65" i="13" s="1"/>
  <c r="L64" i="13" l="1"/>
  <c r="F65" i="13" s="1"/>
  <c r="I65" i="13" l="1"/>
  <c r="K65" i="13" l="1"/>
  <c r="H65" i="13"/>
  <c r="J66" i="13" l="1"/>
  <c r="L65" i="13"/>
  <c r="F66" i="13" s="1"/>
  <c r="I66" i="13" l="1"/>
  <c r="K66" i="13" l="1"/>
  <c r="H66" i="13"/>
  <c r="J67" i="13" l="1"/>
  <c r="L66" i="13"/>
  <c r="F67" i="13" s="1"/>
  <c r="I67" i="13" l="1"/>
  <c r="O34" i="13"/>
  <c r="O40" i="13" s="1"/>
  <c r="O24" i="13"/>
  <c r="O14" i="13"/>
  <c r="O20" i="13" s="1"/>
  <c r="B12" i="13"/>
  <c r="G21" i="13" s="1"/>
  <c r="G8" i="13"/>
  <c r="O4" i="13"/>
  <c r="O10" i="13" s="1"/>
  <c r="F3" i="13"/>
  <c r="I3" i="13" s="1"/>
  <c r="K3" i="13" s="1"/>
  <c r="O39" i="13" l="1"/>
  <c r="O37" i="13"/>
  <c r="O38" i="13"/>
  <c r="K67" i="13"/>
  <c r="H67" i="13"/>
  <c r="G4" i="13"/>
  <c r="G5" i="13"/>
  <c r="G10" i="13"/>
  <c r="G18" i="13"/>
  <c r="G20" i="13"/>
  <c r="G7" i="13"/>
  <c r="G9" i="13"/>
  <c r="G11" i="13"/>
  <c r="G12" i="13"/>
  <c r="G17" i="13"/>
  <c r="G19" i="13"/>
  <c r="O7" i="13"/>
  <c r="O8" i="13"/>
  <c r="O9" i="13"/>
  <c r="G62" i="13"/>
  <c r="G60" i="13"/>
  <c r="G58" i="13"/>
  <c r="G56" i="13"/>
  <c r="G54" i="13"/>
  <c r="G52" i="13"/>
  <c r="G50" i="13"/>
  <c r="G48" i="13"/>
  <c r="G46" i="13"/>
  <c r="G44" i="13"/>
  <c r="G42" i="13"/>
  <c r="G61" i="13"/>
  <c r="G57" i="13"/>
  <c r="G53" i="13"/>
  <c r="G49" i="13"/>
  <c r="G45" i="13"/>
  <c r="G41" i="13"/>
  <c r="G40" i="13"/>
  <c r="G39" i="13"/>
  <c r="G36" i="13"/>
  <c r="G33" i="13"/>
  <c r="G31" i="13"/>
  <c r="G30" i="13"/>
  <c r="G29" i="13"/>
  <c r="G28" i="13"/>
  <c r="G55" i="13"/>
  <c r="G47" i="13"/>
  <c r="G38" i="13"/>
  <c r="G37" i="13"/>
  <c r="G32" i="13"/>
  <c r="G27" i="13"/>
  <c r="G25" i="13"/>
  <c r="G24" i="13"/>
  <c r="G22" i="13"/>
  <c r="G16" i="13"/>
  <c r="G13" i="13"/>
  <c r="G6" i="13"/>
  <c r="G3" i="13"/>
  <c r="H3" i="13" s="1"/>
  <c r="G59" i="13"/>
  <c r="G51" i="13"/>
  <c r="G43" i="13"/>
  <c r="G35" i="13"/>
  <c r="G34" i="13"/>
  <c r="G14" i="13"/>
  <c r="G15" i="13"/>
  <c r="O17" i="13"/>
  <c r="O18" i="13"/>
  <c r="O19" i="13"/>
  <c r="G23" i="13"/>
  <c r="G26" i="13"/>
  <c r="O30" i="13"/>
  <c r="O29" i="13"/>
  <c r="O28" i="13"/>
  <c r="O27" i="13"/>
  <c r="F164" i="5"/>
  <c r="G164" i="5"/>
  <c r="H164" i="5"/>
  <c r="I164" i="5"/>
  <c r="J164" i="5"/>
  <c r="K164" i="5"/>
  <c r="L164" i="5"/>
  <c r="M164" i="5"/>
  <c r="N164" i="5"/>
  <c r="O164" i="5"/>
  <c r="E164" i="5"/>
  <c r="D164" i="5"/>
  <c r="E233" i="5"/>
  <c r="F233" i="5" s="1"/>
  <c r="G233" i="5" s="1"/>
  <c r="H233" i="5" s="1"/>
  <c r="I233" i="5" s="1"/>
  <c r="J233" i="5" s="1"/>
  <c r="K233" i="5" s="1"/>
  <c r="L233" i="5" s="1"/>
  <c r="M233" i="5" s="1"/>
  <c r="N233" i="5" s="1"/>
  <c r="O233" i="5" s="1"/>
  <c r="E209" i="5"/>
  <c r="E210" i="5"/>
  <c r="E211" i="5"/>
  <c r="E212" i="5"/>
  <c r="E213" i="5"/>
  <c r="E214" i="5"/>
  <c r="E215" i="5"/>
  <c r="E216" i="5"/>
  <c r="E217" i="5"/>
  <c r="E218" i="5"/>
  <c r="E219" i="5"/>
  <c r="E5" i="15"/>
  <c r="E6" i="15"/>
  <c r="E7" i="15"/>
  <c r="E8" i="15"/>
  <c r="E9" i="15"/>
  <c r="E10" i="15"/>
  <c r="E11" i="15"/>
  <c r="E12" i="15"/>
  <c r="E13" i="15"/>
  <c r="E14" i="15"/>
  <c r="E4" i="15"/>
  <c r="E15" i="15"/>
  <c r="F5" i="15"/>
  <c r="F6" i="15"/>
  <c r="F7" i="15"/>
  <c r="F8" i="15"/>
  <c r="F9" i="15"/>
  <c r="F10" i="15"/>
  <c r="F11" i="15"/>
  <c r="F12" i="15"/>
  <c r="F13" i="15"/>
  <c r="F14" i="15"/>
  <c r="F4" i="15"/>
  <c r="C15" i="15"/>
  <c r="J68" i="13" l="1"/>
  <c r="L67" i="13"/>
  <c r="F68" i="13" s="1"/>
  <c r="J3" i="13"/>
  <c r="J4" i="13" s="1"/>
  <c r="L3" i="13"/>
  <c r="F4" i="13" s="1"/>
  <c r="D15" i="15"/>
  <c r="I68" i="13" l="1"/>
  <c r="I4" i="13"/>
  <c r="K68" i="13" l="1"/>
  <c r="H68" i="13"/>
  <c r="K4" i="13"/>
  <c r="H4" i="13"/>
  <c r="J69" i="13" l="1"/>
  <c r="L68" i="13"/>
  <c r="F69" i="13" s="1"/>
  <c r="J5" i="13"/>
  <c r="L4" i="13"/>
  <c r="F5" i="13" s="1"/>
  <c r="I69" i="13" l="1"/>
  <c r="I5" i="13"/>
  <c r="K69" i="13" l="1"/>
  <c r="H69" i="13"/>
  <c r="K5" i="13"/>
  <c r="H5" i="13"/>
  <c r="J70" i="13" l="1"/>
  <c r="L69" i="13"/>
  <c r="F70" i="13" s="1"/>
  <c r="J6" i="13"/>
  <c r="L5" i="13"/>
  <c r="F6" i="13" s="1"/>
  <c r="I70" i="13" l="1"/>
  <c r="I6" i="13"/>
  <c r="K70" i="13" l="1"/>
  <c r="H70" i="13"/>
  <c r="K6" i="13"/>
  <c r="H6" i="13"/>
  <c r="J71" i="13" l="1"/>
  <c r="L70" i="13"/>
  <c r="F71" i="13" s="1"/>
  <c r="J7" i="13"/>
  <c r="L6" i="13"/>
  <c r="F7" i="13" s="1"/>
  <c r="I71" i="13" l="1"/>
  <c r="I7" i="13"/>
  <c r="K71" i="13" l="1"/>
  <c r="H71" i="13"/>
  <c r="K7" i="13"/>
  <c r="H7" i="13"/>
  <c r="J72" i="13" l="1"/>
  <c r="L71" i="13"/>
  <c r="F72" i="13" s="1"/>
  <c r="J8" i="13"/>
  <c r="L7" i="13"/>
  <c r="F8" i="13" s="1"/>
  <c r="I72" i="13" l="1"/>
  <c r="I8" i="13"/>
  <c r="K72" i="13" l="1"/>
  <c r="H72" i="13"/>
  <c r="K8" i="13"/>
  <c r="H8" i="13"/>
  <c r="J73" i="13" l="1"/>
  <c r="L72" i="13"/>
  <c r="F73" i="13" s="1"/>
  <c r="J9" i="13"/>
  <c r="L8" i="13"/>
  <c r="F9" i="13" s="1"/>
  <c r="I73" i="13" l="1"/>
  <c r="I9" i="13"/>
  <c r="K73" i="13" l="1"/>
  <c r="H73" i="13"/>
  <c r="K9" i="13"/>
  <c r="H9" i="13"/>
  <c r="J74" i="13" l="1"/>
  <c r="L73" i="13"/>
  <c r="F74" i="13" s="1"/>
  <c r="J10" i="13"/>
  <c r="L9" i="13"/>
  <c r="F10" i="13" s="1"/>
  <c r="I74" i="13" l="1"/>
  <c r="I10" i="13"/>
  <c r="K74" i="13" l="1"/>
  <c r="H74" i="13"/>
  <c r="K10" i="13"/>
  <c r="H10" i="13"/>
  <c r="J75" i="13" l="1"/>
  <c r="L74" i="13"/>
  <c r="F75" i="13" s="1"/>
  <c r="J11" i="13"/>
  <c r="L10" i="13"/>
  <c r="F11" i="13" s="1"/>
  <c r="I75" i="13" l="1"/>
  <c r="I11" i="13"/>
  <c r="K75" i="13" l="1"/>
  <c r="H75" i="13"/>
  <c r="K11" i="13"/>
  <c r="H11" i="13"/>
  <c r="J76" i="13" l="1"/>
  <c r="L75" i="13"/>
  <c r="F76" i="13" s="1"/>
  <c r="J12" i="13"/>
  <c r="L11" i="13"/>
  <c r="F12" i="13" s="1"/>
  <c r="I76" i="13" l="1"/>
  <c r="I12" i="13"/>
  <c r="K76" i="13" l="1"/>
  <c r="H76" i="13"/>
  <c r="K12" i="13"/>
  <c r="H12" i="13"/>
  <c r="J77" i="13" l="1"/>
  <c r="L76" i="13"/>
  <c r="F77" i="13" s="1"/>
  <c r="J13" i="13"/>
  <c r="L12" i="13"/>
  <c r="F13" i="13" s="1"/>
  <c r="I77" i="13" l="1"/>
  <c r="I13" i="13"/>
  <c r="K77" i="13" l="1"/>
  <c r="H77" i="13"/>
  <c r="K13" i="13"/>
  <c r="H13" i="13"/>
  <c r="J78" i="13" l="1"/>
  <c r="L77" i="13"/>
  <c r="F78" i="13" s="1"/>
  <c r="J14" i="13"/>
  <c r="L13" i="13"/>
  <c r="F14" i="13" s="1"/>
  <c r="I78" i="13" l="1"/>
  <c r="I14" i="13"/>
  <c r="K78" i="13" l="1"/>
  <c r="H78" i="13"/>
  <c r="K14" i="13"/>
  <c r="H14" i="13"/>
  <c r="J79" i="13" l="1"/>
  <c r="L78" i="13"/>
  <c r="F79" i="13" s="1"/>
  <c r="J15" i="13"/>
  <c r="L14" i="13"/>
  <c r="F15" i="13" s="1"/>
  <c r="I79" i="13" l="1"/>
  <c r="I15" i="13"/>
  <c r="K79" i="13" l="1"/>
  <c r="H79" i="13"/>
  <c r="K15" i="13"/>
  <c r="H15" i="13"/>
  <c r="J80" i="13" l="1"/>
  <c r="L79" i="13"/>
  <c r="F80" i="13" s="1"/>
  <c r="J16" i="13"/>
  <c r="L15" i="13"/>
  <c r="F16" i="13" s="1"/>
  <c r="I80" i="13" l="1"/>
  <c r="I16" i="13"/>
  <c r="K80" i="13" l="1"/>
  <c r="H80" i="13"/>
  <c r="K16" i="13"/>
  <c r="H16" i="13"/>
  <c r="J81" i="13" l="1"/>
  <c r="L80" i="13"/>
  <c r="F81" i="13" s="1"/>
  <c r="J17" i="13"/>
  <c r="L16" i="13"/>
  <c r="F17" i="13" s="1"/>
  <c r="I81" i="13" l="1"/>
  <c r="I17" i="13"/>
  <c r="K81" i="13" l="1"/>
  <c r="H81" i="13"/>
  <c r="K17" i="13"/>
  <c r="H17" i="13"/>
  <c r="J82" i="13" l="1"/>
  <c r="L81" i="13"/>
  <c r="F82" i="13" s="1"/>
  <c r="J18" i="13"/>
  <c r="L17" i="13"/>
  <c r="F18" i="13" s="1"/>
  <c r="I82" i="13" l="1"/>
  <c r="I18" i="13"/>
  <c r="K82" i="13" l="1"/>
  <c r="H82" i="13"/>
  <c r="K18" i="13"/>
  <c r="H18" i="13"/>
  <c r="J83" i="13" l="1"/>
  <c r="L82" i="13"/>
  <c r="F83" i="13" s="1"/>
  <c r="J19" i="13"/>
  <c r="L18" i="13"/>
  <c r="F19" i="13" s="1"/>
  <c r="I83" i="13" l="1"/>
  <c r="I19" i="13"/>
  <c r="K83" i="13" l="1"/>
  <c r="H83" i="13"/>
  <c r="K19" i="13"/>
  <c r="H19" i="13"/>
  <c r="J84" i="13" l="1"/>
  <c r="L83" i="13"/>
  <c r="F84" i="13" s="1"/>
  <c r="J20" i="13"/>
  <c r="L19" i="13"/>
  <c r="F20" i="13" s="1"/>
  <c r="I84" i="13" l="1"/>
  <c r="I20" i="13"/>
  <c r="K84" i="13" l="1"/>
  <c r="H84" i="13"/>
  <c r="K20" i="13"/>
  <c r="H20" i="13"/>
  <c r="J85" i="13" l="1"/>
  <c r="L84" i="13"/>
  <c r="F85" i="13" s="1"/>
  <c r="J21" i="13"/>
  <c r="L20" i="13"/>
  <c r="F21" i="13" s="1"/>
  <c r="I85" i="13" l="1"/>
  <c r="I21" i="13"/>
  <c r="K85" i="13" l="1"/>
  <c r="H85" i="13"/>
  <c r="K21" i="13"/>
  <c r="H21" i="13"/>
  <c r="J86" i="13" l="1"/>
  <c r="L85" i="13"/>
  <c r="F86" i="13" s="1"/>
  <c r="J22" i="13"/>
  <c r="L21" i="13"/>
  <c r="F22" i="13" s="1"/>
  <c r="I86" i="13" l="1"/>
  <c r="I22" i="13"/>
  <c r="K86" i="13" l="1"/>
  <c r="H86" i="13"/>
  <c r="K22" i="13"/>
  <c r="H22" i="13"/>
  <c r="J87" i="13" l="1"/>
  <c r="L86" i="13"/>
  <c r="F87" i="13" s="1"/>
  <c r="J23" i="13"/>
  <c r="L22" i="13"/>
  <c r="F23" i="13" s="1"/>
  <c r="I87" i="13" l="1"/>
  <c r="I23" i="13"/>
  <c r="K87" i="13" l="1"/>
  <c r="H87" i="13"/>
  <c r="K23" i="13"/>
  <c r="H23" i="13"/>
  <c r="J88" i="13" l="1"/>
  <c r="L87" i="13"/>
  <c r="F88" i="13" s="1"/>
  <c r="J24" i="13"/>
  <c r="L23" i="13"/>
  <c r="F24" i="13" s="1"/>
  <c r="I88" i="13" l="1"/>
  <c r="I24" i="13"/>
  <c r="K88" i="13" l="1"/>
  <c r="H88" i="13"/>
  <c r="K24" i="13"/>
  <c r="H24" i="13"/>
  <c r="J89" i="13" l="1"/>
  <c r="L88" i="13"/>
  <c r="F89" i="13" s="1"/>
  <c r="J25" i="13"/>
  <c r="L24" i="13"/>
  <c r="F25" i="13" s="1"/>
  <c r="I89" i="13" l="1"/>
  <c r="I25" i="13"/>
  <c r="K89" i="13" l="1"/>
  <c r="H89" i="13"/>
  <c r="K25" i="13"/>
  <c r="H25" i="13"/>
  <c r="J90" i="13" l="1"/>
  <c r="L89" i="13"/>
  <c r="F90" i="13" s="1"/>
  <c r="J26" i="13"/>
  <c r="L25" i="13"/>
  <c r="F26" i="13" s="1"/>
  <c r="I90" i="13" l="1"/>
  <c r="I26" i="13"/>
  <c r="K90" i="13" l="1"/>
  <c r="H90" i="13"/>
  <c r="K26" i="13"/>
  <c r="H26" i="13"/>
  <c r="J91" i="13" l="1"/>
  <c r="L90" i="13"/>
  <c r="F91" i="13" s="1"/>
  <c r="J27" i="13"/>
  <c r="L26" i="13"/>
  <c r="F27" i="13" s="1"/>
  <c r="I91" i="13" l="1"/>
  <c r="I27" i="13"/>
  <c r="H91" i="13" l="1"/>
  <c r="K91" i="13"/>
  <c r="K27" i="13"/>
  <c r="H27" i="13"/>
  <c r="J92" i="13" l="1"/>
  <c r="L91" i="13"/>
  <c r="F92" i="13" s="1"/>
  <c r="J28" i="13"/>
  <c r="L27" i="13"/>
  <c r="F28" i="13" s="1"/>
  <c r="I92" i="13" l="1"/>
  <c r="I28" i="13"/>
  <c r="K92" i="13" l="1"/>
  <c r="H92" i="13"/>
  <c r="K28" i="13"/>
  <c r="H28" i="13"/>
  <c r="J93" i="13" l="1"/>
  <c r="L92" i="13"/>
  <c r="F93" i="13" s="1"/>
  <c r="J29" i="13"/>
  <c r="L28" i="13"/>
  <c r="F29" i="13" s="1"/>
  <c r="I93" i="13" l="1"/>
  <c r="I29" i="13"/>
  <c r="K93" i="13" l="1"/>
  <c r="H93" i="13"/>
  <c r="K29" i="13"/>
  <c r="H29" i="13"/>
  <c r="J94" i="13" l="1"/>
  <c r="L93" i="13"/>
  <c r="F94" i="13" s="1"/>
  <c r="J30" i="13"/>
  <c r="L29" i="13"/>
  <c r="F30" i="13" s="1"/>
  <c r="I94" i="13" l="1"/>
  <c r="I30" i="13"/>
  <c r="K94" i="13" l="1"/>
  <c r="H94" i="13"/>
  <c r="K30" i="13"/>
  <c r="H30" i="13"/>
  <c r="J95" i="13" l="1"/>
  <c r="L94" i="13"/>
  <c r="F95" i="13" s="1"/>
  <c r="J31" i="13"/>
  <c r="L30" i="13"/>
  <c r="F31" i="13" s="1"/>
  <c r="I95" i="13" l="1"/>
  <c r="I31" i="13"/>
  <c r="K95" i="13" l="1"/>
  <c r="H95" i="13"/>
  <c r="K31" i="13"/>
  <c r="H31" i="13"/>
  <c r="J96" i="13" l="1"/>
  <c r="L95" i="13"/>
  <c r="F96" i="13" s="1"/>
  <c r="J32" i="13"/>
  <c r="L31" i="13"/>
  <c r="F32" i="13" s="1"/>
  <c r="I96" i="13" l="1"/>
  <c r="I32" i="13"/>
  <c r="K96" i="13" l="1"/>
  <c r="H96" i="13"/>
  <c r="K32" i="13"/>
  <c r="H32" i="13"/>
  <c r="J97" i="13" l="1"/>
  <c r="L96" i="13"/>
  <c r="F97" i="13" s="1"/>
  <c r="J33" i="13"/>
  <c r="L32" i="13"/>
  <c r="F33" i="13" s="1"/>
  <c r="I97" i="13" l="1"/>
  <c r="I33" i="13"/>
  <c r="K97" i="13" l="1"/>
  <c r="H97" i="13"/>
  <c r="K33" i="13"/>
  <c r="H33" i="13"/>
  <c r="J98" i="13" l="1"/>
  <c r="L97" i="13"/>
  <c r="F98" i="13" s="1"/>
  <c r="J34" i="13"/>
  <c r="L33" i="13"/>
  <c r="F34" i="13" s="1"/>
  <c r="I98" i="13" l="1"/>
  <c r="I34" i="13"/>
  <c r="K98" i="13" l="1"/>
  <c r="H98" i="13"/>
  <c r="K34" i="13"/>
  <c r="H34" i="13"/>
  <c r="J99" i="13" l="1"/>
  <c r="L98" i="13"/>
  <c r="F99" i="13" s="1"/>
  <c r="J35" i="13"/>
  <c r="L34" i="13"/>
  <c r="F35" i="13" s="1"/>
  <c r="I99" i="13" l="1"/>
  <c r="I35" i="13"/>
  <c r="K99" i="13" l="1"/>
  <c r="H99" i="13"/>
  <c r="K35" i="13"/>
  <c r="H35" i="13"/>
  <c r="J100" i="13" l="1"/>
  <c r="L99" i="13"/>
  <c r="F100" i="13" s="1"/>
  <c r="J36" i="13"/>
  <c r="L35" i="13"/>
  <c r="F36" i="13" s="1"/>
  <c r="I100" i="13" l="1"/>
  <c r="I36" i="13"/>
  <c r="K100" i="13" l="1"/>
  <c r="H100" i="13"/>
  <c r="K36" i="13"/>
  <c r="H36" i="13"/>
  <c r="J101" i="13" l="1"/>
  <c r="L100" i="13"/>
  <c r="F101" i="13" s="1"/>
  <c r="J37" i="13"/>
  <c r="L36" i="13"/>
  <c r="F37" i="13" s="1"/>
  <c r="I101" i="13" l="1"/>
  <c r="I37" i="13"/>
  <c r="K101" i="13" l="1"/>
  <c r="H101" i="13"/>
  <c r="K37" i="13"/>
  <c r="H37" i="13"/>
  <c r="J102" i="13" l="1"/>
  <c r="L101" i="13"/>
  <c r="F102" i="13" s="1"/>
  <c r="J38" i="13"/>
  <c r="L37" i="13"/>
  <c r="F38" i="13" s="1"/>
  <c r="I102" i="13" l="1"/>
  <c r="I38" i="13"/>
  <c r="K102" i="13" l="1"/>
  <c r="H102" i="13"/>
  <c r="K38" i="13"/>
  <c r="H38" i="13"/>
  <c r="J103" i="13" l="1"/>
  <c r="L102" i="13"/>
  <c r="F103" i="13" s="1"/>
  <c r="J39" i="13"/>
  <c r="L38" i="13"/>
  <c r="F39" i="13" s="1"/>
  <c r="I103" i="13" l="1"/>
  <c r="I39" i="13"/>
  <c r="K103" i="13" l="1"/>
  <c r="H103" i="13"/>
  <c r="K39" i="13"/>
  <c r="H39" i="13"/>
  <c r="J104" i="13" l="1"/>
  <c r="L103" i="13"/>
  <c r="F104" i="13" s="1"/>
  <c r="J40" i="13"/>
  <c r="L39" i="13"/>
  <c r="F40" i="13" s="1"/>
  <c r="I104" i="13" l="1"/>
  <c r="I40" i="13"/>
  <c r="K104" i="13" l="1"/>
  <c r="H104" i="13"/>
  <c r="K40" i="13"/>
  <c r="H40" i="13"/>
  <c r="J105" i="13" l="1"/>
  <c r="L104" i="13"/>
  <c r="F105" i="13" s="1"/>
  <c r="J41" i="13"/>
  <c r="L40" i="13"/>
  <c r="F41" i="13" s="1"/>
  <c r="I105" i="13" l="1"/>
  <c r="I41" i="13"/>
  <c r="K105" i="13" l="1"/>
  <c r="H105" i="13"/>
  <c r="K41" i="13"/>
  <c r="H41" i="13"/>
  <c r="J106" i="13" l="1"/>
  <c r="L105" i="13"/>
  <c r="F106" i="13" s="1"/>
  <c r="J42" i="13"/>
  <c r="L41" i="13"/>
  <c r="F42" i="13" s="1"/>
  <c r="I106" i="13" l="1"/>
  <c r="I42" i="13"/>
  <c r="K106" i="13" l="1"/>
  <c r="H106" i="13"/>
  <c r="K42" i="13"/>
  <c r="H42" i="13"/>
  <c r="J107" i="13" l="1"/>
  <c r="L106" i="13"/>
  <c r="F107" i="13" s="1"/>
  <c r="J43" i="13"/>
  <c r="L42" i="13"/>
  <c r="F43" i="13" s="1"/>
  <c r="I107" i="13" l="1"/>
  <c r="I43" i="13"/>
  <c r="K107" i="13" l="1"/>
  <c r="H107" i="13"/>
  <c r="K43" i="13"/>
  <c r="H43" i="13"/>
  <c r="J108" i="13" l="1"/>
  <c r="L107" i="13"/>
  <c r="F108" i="13" s="1"/>
  <c r="J44" i="13"/>
  <c r="L43" i="13"/>
  <c r="F44" i="13" s="1"/>
  <c r="I108" i="13" l="1"/>
  <c r="I44" i="13"/>
  <c r="K108" i="13" l="1"/>
  <c r="H108" i="13"/>
  <c r="K44" i="13"/>
  <c r="H44" i="13"/>
  <c r="J109" i="13" l="1"/>
  <c r="L108" i="13"/>
  <c r="F109" i="13" s="1"/>
  <c r="J45" i="13"/>
  <c r="L44" i="13"/>
  <c r="F45" i="13" s="1"/>
  <c r="I109" i="13" l="1"/>
  <c r="I45" i="13"/>
  <c r="K109" i="13" l="1"/>
  <c r="H109" i="13"/>
  <c r="K45" i="13"/>
  <c r="H45" i="13"/>
  <c r="J110" i="13" l="1"/>
  <c r="L109" i="13"/>
  <c r="F110" i="13" s="1"/>
  <c r="J46" i="13"/>
  <c r="L45" i="13"/>
  <c r="F46" i="13" s="1"/>
  <c r="I110" i="13" l="1"/>
  <c r="I46" i="13"/>
  <c r="K110" i="13" l="1"/>
  <c r="H110" i="13"/>
  <c r="K46" i="13"/>
  <c r="H46" i="13"/>
  <c r="J111" i="13" l="1"/>
  <c r="L110" i="13"/>
  <c r="F111" i="13" s="1"/>
  <c r="J47" i="13"/>
  <c r="L46" i="13"/>
  <c r="F47" i="13" s="1"/>
  <c r="I111" i="13" l="1"/>
  <c r="I47" i="13"/>
  <c r="K111" i="13" l="1"/>
  <c r="H111" i="13"/>
  <c r="K47" i="13"/>
  <c r="H47" i="13"/>
  <c r="J112" i="13" l="1"/>
  <c r="L111" i="13"/>
  <c r="F112" i="13" s="1"/>
  <c r="J48" i="13"/>
  <c r="L47" i="13"/>
  <c r="F48" i="13" s="1"/>
  <c r="I112" i="13" l="1"/>
  <c r="I48" i="13"/>
  <c r="K112" i="13" l="1"/>
  <c r="H112" i="13"/>
  <c r="K48" i="13"/>
  <c r="H48" i="13"/>
  <c r="J113" i="13" l="1"/>
  <c r="L112" i="13"/>
  <c r="F113" i="13" s="1"/>
  <c r="J49" i="13"/>
  <c r="L48" i="13"/>
  <c r="F49" i="13" s="1"/>
  <c r="I113" i="13" l="1"/>
  <c r="I49" i="13"/>
  <c r="K113" i="13" l="1"/>
  <c r="H113" i="13"/>
  <c r="K49" i="13"/>
  <c r="H49" i="13"/>
  <c r="J114" i="13" l="1"/>
  <c r="L113" i="13"/>
  <c r="F114" i="13" s="1"/>
  <c r="J50" i="13"/>
  <c r="L49" i="13"/>
  <c r="F50" i="13" s="1"/>
  <c r="I114" i="13" l="1"/>
  <c r="I50" i="13"/>
  <c r="K114" i="13" l="1"/>
  <c r="H114" i="13"/>
  <c r="K50" i="13"/>
  <c r="H50" i="13"/>
  <c r="J115" i="13" l="1"/>
  <c r="L114" i="13"/>
  <c r="F115" i="13" s="1"/>
  <c r="J51" i="13"/>
  <c r="L50" i="13"/>
  <c r="F51" i="13" s="1"/>
  <c r="I115" i="13" l="1"/>
  <c r="I51" i="13"/>
  <c r="K115" i="13" l="1"/>
  <c r="H115" i="13"/>
  <c r="K51" i="13"/>
  <c r="H51" i="13"/>
  <c r="J116" i="13" l="1"/>
  <c r="L115" i="13"/>
  <c r="F116" i="13" s="1"/>
  <c r="J52" i="13"/>
  <c r="L51" i="13"/>
  <c r="F52" i="13" s="1"/>
  <c r="I116" i="13" l="1"/>
  <c r="I52" i="13"/>
  <c r="K116" i="13" l="1"/>
  <c r="H116" i="13"/>
  <c r="K52" i="13"/>
  <c r="H52" i="13"/>
  <c r="J117" i="13" l="1"/>
  <c r="L116" i="13"/>
  <c r="F117" i="13" s="1"/>
  <c r="J53" i="13"/>
  <c r="L52" i="13"/>
  <c r="F53" i="13" s="1"/>
  <c r="I117" i="13" l="1"/>
  <c r="I53" i="13"/>
  <c r="K117" i="13" l="1"/>
  <c r="H117" i="13"/>
  <c r="K53" i="13"/>
  <c r="H53" i="13"/>
  <c r="J118" i="13" l="1"/>
  <c r="L117" i="13"/>
  <c r="F118" i="13" s="1"/>
  <c r="J54" i="13"/>
  <c r="L53" i="13"/>
  <c r="F54" i="13" s="1"/>
  <c r="I118" i="13" l="1"/>
  <c r="I54" i="13"/>
  <c r="K118" i="13" l="1"/>
  <c r="H118" i="13"/>
  <c r="K54" i="13"/>
  <c r="H54" i="13"/>
  <c r="J119" i="13" l="1"/>
  <c r="L118" i="13"/>
  <c r="F119" i="13" s="1"/>
  <c r="J55" i="13"/>
  <c r="L54" i="13"/>
  <c r="F55" i="13" s="1"/>
  <c r="I119" i="13" l="1"/>
  <c r="I55" i="13"/>
  <c r="K119" i="13" l="1"/>
  <c r="H119" i="13"/>
  <c r="K55" i="13"/>
  <c r="H55" i="13"/>
  <c r="J120" i="13" l="1"/>
  <c r="L119" i="13"/>
  <c r="F120" i="13" s="1"/>
  <c r="J56" i="13"/>
  <c r="L55" i="13"/>
  <c r="F56" i="13" s="1"/>
  <c r="I120" i="13" l="1"/>
  <c r="I56" i="13"/>
  <c r="K120" i="13" l="1"/>
  <c r="H120" i="13"/>
  <c r="K56" i="13"/>
  <c r="H56" i="13"/>
  <c r="J121" i="13" l="1"/>
  <c r="L120" i="13"/>
  <c r="F121" i="13" s="1"/>
  <c r="J57" i="13"/>
  <c r="L56" i="13"/>
  <c r="F57" i="13" s="1"/>
  <c r="I121" i="13" l="1"/>
  <c r="I57" i="13"/>
  <c r="K121" i="13" l="1"/>
  <c r="H121" i="13"/>
  <c r="K57" i="13"/>
  <c r="H57" i="13"/>
  <c r="J122" i="13" l="1"/>
  <c r="L121" i="13"/>
  <c r="F122" i="13" s="1"/>
  <c r="J58" i="13"/>
  <c r="L57" i="13"/>
  <c r="F58" i="13" s="1"/>
  <c r="I122" i="13" l="1"/>
  <c r="I58" i="13"/>
  <c r="K122" i="13" l="1"/>
  <c r="H122" i="13"/>
  <c r="K58" i="13"/>
  <c r="H58" i="13"/>
  <c r="J123" i="13" l="1"/>
  <c r="L122" i="13"/>
  <c r="F123" i="13" s="1"/>
  <c r="J59" i="13"/>
  <c r="L58" i="13"/>
  <c r="F59" i="13" s="1"/>
  <c r="I123" i="13" l="1"/>
  <c r="I59" i="13"/>
  <c r="K123" i="13" l="1"/>
  <c r="H123" i="13"/>
  <c r="K59" i="13"/>
  <c r="H59" i="13"/>
  <c r="J124" i="13" l="1"/>
  <c r="L123" i="13"/>
  <c r="F124" i="13" s="1"/>
  <c r="J60" i="13"/>
  <c r="L59" i="13"/>
  <c r="F60" i="13" s="1"/>
  <c r="O85" i="5"/>
  <c r="N85" i="5"/>
  <c r="M85" i="5"/>
  <c r="L85" i="5"/>
  <c r="K85" i="5"/>
  <c r="J85" i="5"/>
  <c r="I85" i="5"/>
  <c r="H85" i="5"/>
  <c r="G85" i="5"/>
  <c r="F85" i="5"/>
  <c r="E85" i="5"/>
  <c r="D85" i="5"/>
  <c r="O84" i="5"/>
  <c r="N84" i="5"/>
  <c r="M84" i="5"/>
  <c r="L84" i="5"/>
  <c r="K84" i="5"/>
  <c r="J84" i="5"/>
  <c r="I84" i="5"/>
  <c r="H84" i="5"/>
  <c r="G84" i="5"/>
  <c r="F84" i="5"/>
  <c r="E84" i="5"/>
  <c r="D84" i="5"/>
  <c r="O83" i="5"/>
  <c r="N83" i="5"/>
  <c r="M83" i="5"/>
  <c r="L83" i="5"/>
  <c r="K83" i="5"/>
  <c r="J83" i="5"/>
  <c r="I83" i="5"/>
  <c r="H83" i="5"/>
  <c r="G83" i="5"/>
  <c r="F83" i="5"/>
  <c r="E83" i="5"/>
  <c r="D83" i="5"/>
  <c r="O82" i="5"/>
  <c r="N82" i="5"/>
  <c r="M82" i="5"/>
  <c r="L82" i="5"/>
  <c r="K82" i="5"/>
  <c r="J82" i="5"/>
  <c r="I82" i="5"/>
  <c r="H82" i="5"/>
  <c r="G82" i="5"/>
  <c r="F82" i="5"/>
  <c r="E82" i="5"/>
  <c r="D82" i="5"/>
  <c r="O81" i="5"/>
  <c r="N81" i="5"/>
  <c r="M81" i="5"/>
  <c r="L81" i="5"/>
  <c r="K81" i="5"/>
  <c r="J81" i="5"/>
  <c r="I81" i="5"/>
  <c r="H81" i="5"/>
  <c r="G81" i="5"/>
  <c r="F81" i="5"/>
  <c r="E81" i="5"/>
  <c r="D81" i="5"/>
  <c r="O80" i="5"/>
  <c r="N80" i="5"/>
  <c r="M80" i="5"/>
  <c r="L80" i="5"/>
  <c r="K80" i="5"/>
  <c r="J80" i="5"/>
  <c r="I80" i="5"/>
  <c r="H80" i="5"/>
  <c r="G80" i="5"/>
  <c r="F80" i="5"/>
  <c r="E80" i="5"/>
  <c r="D80" i="5"/>
  <c r="O79" i="5"/>
  <c r="N79" i="5"/>
  <c r="M79" i="5"/>
  <c r="L79" i="5"/>
  <c r="K79" i="5"/>
  <c r="J79" i="5"/>
  <c r="I79" i="5"/>
  <c r="H79" i="5"/>
  <c r="G79" i="5"/>
  <c r="F79" i="5"/>
  <c r="E79" i="5"/>
  <c r="D79" i="5"/>
  <c r="I124" i="13" l="1"/>
  <c r="I60" i="13"/>
  <c r="P80" i="5"/>
  <c r="P82" i="5"/>
  <c r="P84" i="5"/>
  <c r="P79" i="5"/>
  <c r="P81" i="5"/>
  <c r="P83" i="5"/>
  <c r="P85" i="5"/>
  <c r="G10" i="10"/>
  <c r="H10" i="10" s="1"/>
  <c r="I10" i="10"/>
  <c r="J10" i="10" s="1"/>
  <c r="K10" i="10" s="1"/>
  <c r="L10" i="10" s="1"/>
  <c r="M10" i="10" s="1"/>
  <c r="N10" i="10" s="1"/>
  <c r="O10" i="10" s="1"/>
  <c r="P10" i="10" s="1"/>
  <c r="G13" i="10"/>
  <c r="H13" i="10" s="1"/>
  <c r="I13" i="10" s="1"/>
  <c r="J13" i="10" s="1"/>
  <c r="K13" i="10" s="1"/>
  <c r="L13" i="10" s="1"/>
  <c r="M13" i="10" s="1"/>
  <c r="N13" i="10" s="1"/>
  <c r="O13" i="10" s="1"/>
  <c r="P13" i="10" s="1"/>
  <c r="G14" i="10"/>
  <c r="H14" i="10" s="1"/>
  <c r="I14" i="10" s="1"/>
  <c r="J14" i="10" s="1"/>
  <c r="K14" i="10" s="1"/>
  <c r="L14" i="10" s="1"/>
  <c r="M14" i="10" s="1"/>
  <c r="N14" i="10" s="1"/>
  <c r="O14" i="10" s="1"/>
  <c r="P14" i="10" s="1"/>
  <c r="G16" i="10"/>
  <c r="H16" i="10" s="1"/>
  <c r="I16" i="10" s="1"/>
  <c r="J16" i="10" s="1"/>
  <c r="K16" i="10" s="1"/>
  <c r="L16" i="10" s="1"/>
  <c r="M16" i="10" s="1"/>
  <c r="N16" i="10" s="1"/>
  <c r="O16" i="10" s="1"/>
  <c r="P16" i="10" s="1"/>
  <c r="G18" i="10"/>
  <c r="H18" i="10" s="1"/>
  <c r="I18" i="10"/>
  <c r="J18" i="10" s="1"/>
  <c r="K18" i="10" s="1"/>
  <c r="L18" i="10" s="1"/>
  <c r="M18" i="10" s="1"/>
  <c r="N18" i="10" s="1"/>
  <c r="O18" i="10" s="1"/>
  <c r="P18" i="10" s="1"/>
  <c r="G19" i="10"/>
  <c r="H19" i="10" s="1"/>
  <c r="I19" i="10" s="1"/>
  <c r="J19" i="10" s="1"/>
  <c r="K19" i="10" s="1"/>
  <c r="L19" i="10" s="1"/>
  <c r="M19" i="10" s="1"/>
  <c r="N19" i="10" s="1"/>
  <c r="O19" i="10" s="1"/>
  <c r="P19" i="10" s="1"/>
  <c r="G26" i="10"/>
  <c r="H26" i="10" s="1"/>
  <c r="I26" i="10" s="1"/>
  <c r="J26" i="10" s="1"/>
  <c r="K26" i="10" s="1"/>
  <c r="L26" i="10" s="1"/>
  <c r="M26" i="10" s="1"/>
  <c r="N26" i="10" s="1"/>
  <c r="O26" i="10" s="1"/>
  <c r="P26" i="10" s="1"/>
  <c r="G27" i="10"/>
  <c r="H27" i="10" s="1"/>
  <c r="I27" i="10" s="1"/>
  <c r="J27" i="10" s="1"/>
  <c r="K27" i="10"/>
  <c r="L27" i="10" s="1"/>
  <c r="M27" i="10" s="1"/>
  <c r="N27" i="10" s="1"/>
  <c r="O27" i="10" s="1"/>
  <c r="P27" i="10" s="1"/>
  <c r="F7" i="10"/>
  <c r="G7" i="10" s="1"/>
  <c r="H7" i="10" s="1"/>
  <c r="I7" i="10" s="1"/>
  <c r="J7" i="10" s="1"/>
  <c r="K7" i="10" s="1"/>
  <c r="L7" i="10" s="1"/>
  <c r="M7" i="10" s="1"/>
  <c r="N7" i="10" s="1"/>
  <c r="O7" i="10" s="1"/>
  <c r="P7" i="10" s="1"/>
  <c r="F8" i="10"/>
  <c r="G8" i="10" s="1"/>
  <c r="H8" i="10" s="1"/>
  <c r="I8" i="10" s="1"/>
  <c r="J8" i="10" s="1"/>
  <c r="K8" i="10" s="1"/>
  <c r="L8" i="10" s="1"/>
  <c r="M8" i="10" s="1"/>
  <c r="N8" i="10" s="1"/>
  <c r="O8" i="10" s="1"/>
  <c r="P8" i="10" s="1"/>
  <c r="F9" i="10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F10" i="10"/>
  <c r="F11" i="10"/>
  <c r="G11" i="10" s="1"/>
  <c r="H11" i="10" s="1"/>
  <c r="I11" i="10" s="1"/>
  <c r="J11" i="10" s="1"/>
  <c r="K11" i="10" s="1"/>
  <c r="L11" i="10" s="1"/>
  <c r="M11" i="10" s="1"/>
  <c r="N11" i="10" s="1"/>
  <c r="O11" i="10" s="1"/>
  <c r="P11" i="10" s="1"/>
  <c r="F12" i="10"/>
  <c r="G12" i="10" s="1"/>
  <c r="H12" i="10" s="1"/>
  <c r="I12" i="10" s="1"/>
  <c r="J12" i="10" s="1"/>
  <c r="K12" i="10" s="1"/>
  <c r="L12" i="10" s="1"/>
  <c r="M12" i="10" s="1"/>
  <c r="N12" i="10" s="1"/>
  <c r="O12" i="10" s="1"/>
  <c r="P12" i="10" s="1"/>
  <c r="F13" i="10"/>
  <c r="F14" i="10"/>
  <c r="F15" i="10"/>
  <c r="G15" i="10" s="1"/>
  <c r="H15" i="10" s="1"/>
  <c r="I15" i="10" s="1"/>
  <c r="J15" i="10" s="1"/>
  <c r="K15" i="10" s="1"/>
  <c r="L15" i="10" s="1"/>
  <c r="M15" i="10" s="1"/>
  <c r="N15" i="10" s="1"/>
  <c r="O15" i="10" s="1"/>
  <c r="P15" i="10" s="1"/>
  <c r="F16" i="10"/>
  <c r="F17" i="10"/>
  <c r="G17" i="10" s="1"/>
  <c r="H17" i="10" s="1"/>
  <c r="I17" i="10" s="1"/>
  <c r="J17" i="10" s="1"/>
  <c r="K17" i="10" s="1"/>
  <c r="L17" i="10" s="1"/>
  <c r="M17" i="10" s="1"/>
  <c r="N17" i="10" s="1"/>
  <c r="O17" i="10" s="1"/>
  <c r="P17" i="10" s="1"/>
  <c r="F18" i="10"/>
  <c r="F19" i="10"/>
  <c r="F20" i="10"/>
  <c r="G20" i="10" s="1"/>
  <c r="H20" i="10" s="1"/>
  <c r="I20" i="10" s="1"/>
  <c r="J20" i="10" s="1"/>
  <c r="K20" i="10" s="1"/>
  <c r="L20" i="10" s="1"/>
  <c r="M20" i="10" s="1"/>
  <c r="N20" i="10" s="1"/>
  <c r="O20" i="10" s="1"/>
  <c r="P20" i="10" s="1"/>
  <c r="F21" i="10"/>
  <c r="F22" i="10"/>
  <c r="F23" i="10"/>
  <c r="G23" i="10" s="1"/>
  <c r="H23" i="10" s="1"/>
  <c r="I23" i="10" s="1"/>
  <c r="J23" i="10" s="1"/>
  <c r="K23" i="10" s="1"/>
  <c r="L23" i="10" s="1"/>
  <c r="M23" i="10" s="1"/>
  <c r="N23" i="10" s="1"/>
  <c r="O23" i="10" s="1"/>
  <c r="P23" i="10" s="1"/>
  <c r="F24" i="10"/>
  <c r="G24" i="10" s="1"/>
  <c r="H24" i="10" s="1"/>
  <c r="I24" i="10" s="1"/>
  <c r="J24" i="10" s="1"/>
  <c r="K24" i="10" s="1"/>
  <c r="L24" i="10" s="1"/>
  <c r="M24" i="10" s="1"/>
  <c r="N24" i="10" s="1"/>
  <c r="O24" i="10" s="1"/>
  <c r="P24" i="10" s="1"/>
  <c r="F25" i="10"/>
  <c r="G25" i="10" s="1"/>
  <c r="H25" i="10" s="1"/>
  <c r="I25" i="10" s="1"/>
  <c r="J25" i="10" s="1"/>
  <c r="K25" i="10" s="1"/>
  <c r="L25" i="10" s="1"/>
  <c r="M25" i="10" s="1"/>
  <c r="N25" i="10" s="1"/>
  <c r="O25" i="10" s="1"/>
  <c r="P25" i="10" s="1"/>
  <c r="F26" i="10"/>
  <c r="F27" i="10"/>
  <c r="F6" i="10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K124" i="13" l="1"/>
  <c r="H124" i="13"/>
  <c r="K60" i="13"/>
  <c r="H60" i="13"/>
  <c r="G22" i="10"/>
  <c r="H22" i="10" s="1"/>
  <c r="I22" i="10" s="1"/>
  <c r="J22" i="10" s="1"/>
  <c r="K22" i="10" s="1"/>
  <c r="L22" i="10" s="1"/>
  <c r="M22" i="10" s="1"/>
  <c r="N22" i="10" s="1"/>
  <c r="O22" i="10" s="1"/>
  <c r="P22" i="10" s="1"/>
  <c r="G21" i="10"/>
  <c r="H21" i="10" s="1"/>
  <c r="I21" i="10" s="1"/>
  <c r="J21" i="10" s="1"/>
  <c r="K21" i="10" s="1"/>
  <c r="L21" i="10" s="1"/>
  <c r="M21" i="10" s="1"/>
  <c r="N21" i="10" s="1"/>
  <c r="O21" i="10" s="1"/>
  <c r="P21" i="10" s="1"/>
  <c r="J125" i="13" l="1"/>
  <c r="L124" i="13"/>
  <c r="F125" i="13" s="1"/>
  <c r="J61" i="13"/>
  <c r="L60" i="13"/>
  <c r="F61" i="13" s="1"/>
  <c r="Q22" i="10"/>
  <c r="Q21" i="10"/>
  <c r="I125" i="13" l="1"/>
  <c r="I61" i="13"/>
  <c r="R31" i="5"/>
  <c r="R32" i="5"/>
  <c r="Q31" i="5"/>
  <c r="Q32" i="5"/>
  <c r="Q33" i="5"/>
  <c r="O32" i="5"/>
  <c r="N32" i="5"/>
  <c r="M32" i="5"/>
  <c r="L32" i="5"/>
  <c r="K32" i="5"/>
  <c r="J32" i="5"/>
  <c r="O31" i="5"/>
  <c r="N31" i="5"/>
  <c r="M31" i="5"/>
  <c r="L31" i="5"/>
  <c r="K31" i="5"/>
  <c r="J31" i="5"/>
  <c r="O30" i="5"/>
  <c r="N30" i="5"/>
  <c r="M30" i="5"/>
  <c r="L30" i="5"/>
  <c r="K30" i="5"/>
  <c r="J30" i="5"/>
  <c r="O29" i="5"/>
  <c r="N29" i="5"/>
  <c r="M29" i="5"/>
  <c r="L29" i="5"/>
  <c r="K29" i="5"/>
  <c r="J29" i="5"/>
  <c r="O28" i="5"/>
  <c r="N28" i="5"/>
  <c r="M28" i="5"/>
  <c r="L28" i="5"/>
  <c r="K28" i="5"/>
  <c r="J28" i="5"/>
  <c r="O27" i="5"/>
  <c r="N27" i="5"/>
  <c r="M27" i="5"/>
  <c r="L27" i="5"/>
  <c r="K27" i="5"/>
  <c r="J27" i="5"/>
  <c r="O26" i="5"/>
  <c r="N26" i="5"/>
  <c r="M26" i="5"/>
  <c r="L26" i="5"/>
  <c r="K26" i="5"/>
  <c r="J26" i="5"/>
  <c r="O25" i="5"/>
  <c r="N25" i="5"/>
  <c r="M25" i="5"/>
  <c r="L25" i="5"/>
  <c r="K25" i="5"/>
  <c r="J25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O20" i="5"/>
  <c r="N20" i="5"/>
  <c r="M20" i="5"/>
  <c r="L20" i="5"/>
  <c r="K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O15" i="5"/>
  <c r="N15" i="5"/>
  <c r="M15" i="5"/>
  <c r="L15" i="5"/>
  <c r="K15" i="5"/>
  <c r="J15" i="5"/>
  <c r="O14" i="5"/>
  <c r="N14" i="5"/>
  <c r="M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N35" i="5" s="1"/>
  <c r="M11" i="5"/>
  <c r="M35" i="5" s="1"/>
  <c r="L11" i="5"/>
  <c r="L35" i="5" s="1"/>
  <c r="K11" i="5"/>
  <c r="K35" i="5" s="1"/>
  <c r="J11" i="5"/>
  <c r="J35" i="5" s="1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11" i="5"/>
  <c r="Q32" i="9"/>
  <c r="F6" i="9"/>
  <c r="G6" i="9"/>
  <c r="H6" i="9" s="1"/>
  <c r="I6" i="9" s="1"/>
  <c r="J6" i="9" s="1"/>
  <c r="K6" i="9" s="1"/>
  <c r="L6" i="9" s="1"/>
  <c r="M6" i="9" s="1"/>
  <c r="O6" i="9" s="1"/>
  <c r="P6" i="9" s="1"/>
  <c r="F7" i="9"/>
  <c r="G7" i="9" s="1"/>
  <c r="H7" i="9"/>
  <c r="I7" i="9" s="1"/>
  <c r="J7" i="9" s="1"/>
  <c r="K7" i="9" s="1"/>
  <c r="L7" i="9" s="1"/>
  <c r="M7" i="9" s="1"/>
  <c r="N7" i="9" s="1"/>
  <c r="O7" i="9" s="1"/>
  <c r="P7" i="9" s="1"/>
  <c r="F8" i="9"/>
  <c r="G8" i="9"/>
  <c r="H8" i="9" s="1"/>
  <c r="I8" i="9" s="1"/>
  <c r="J8" i="9" s="1"/>
  <c r="K8" i="9" s="1"/>
  <c r="L8" i="9" s="1"/>
  <c r="M8" i="9" s="1"/>
  <c r="N8" i="9" s="1"/>
  <c r="O8" i="9" s="1"/>
  <c r="P8" i="9" s="1"/>
  <c r="F9" i="9"/>
  <c r="G9" i="9" s="1"/>
  <c r="H9" i="9"/>
  <c r="I9" i="9" s="1"/>
  <c r="J9" i="9" s="1"/>
  <c r="K9" i="9" s="1"/>
  <c r="L9" i="9" s="1"/>
  <c r="M9" i="9" s="1"/>
  <c r="N9" i="9" s="1"/>
  <c r="O9" i="9" s="1"/>
  <c r="P9" i="9" s="1"/>
  <c r="F10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F11" i="9"/>
  <c r="G11" i="9" s="1"/>
  <c r="H11" i="9"/>
  <c r="I11" i="9" s="1"/>
  <c r="J11" i="9" s="1"/>
  <c r="K11" i="9" s="1"/>
  <c r="L11" i="9" s="1"/>
  <c r="M11" i="9" s="1"/>
  <c r="N11" i="9" s="1"/>
  <c r="O11" i="9" s="1"/>
  <c r="P11" i="9" s="1"/>
  <c r="F12" i="9"/>
  <c r="G12" i="9"/>
  <c r="H12" i="9" s="1"/>
  <c r="J12" i="9" s="1"/>
  <c r="K12" i="9" s="1"/>
  <c r="L12" i="9" s="1"/>
  <c r="M12" i="9" s="1"/>
  <c r="N12" i="9" s="1"/>
  <c r="O12" i="9" s="1"/>
  <c r="P12" i="9" s="1"/>
  <c r="F13" i="9"/>
  <c r="G13" i="9" s="1"/>
  <c r="H13" i="9"/>
  <c r="I13" i="9" s="1"/>
  <c r="J13" i="9" s="1"/>
  <c r="K13" i="9" s="1"/>
  <c r="L13" i="9" s="1"/>
  <c r="M13" i="9" s="1"/>
  <c r="N13" i="9" s="1"/>
  <c r="O13" i="9" s="1"/>
  <c r="P13" i="9" s="1"/>
  <c r="F14" i="9"/>
  <c r="G14" i="9"/>
  <c r="H14" i="9" s="1"/>
  <c r="I14" i="9" s="1"/>
  <c r="J14" i="9" s="1"/>
  <c r="K14" i="9" s="1"/>
  <c r="M14" i="9" s="1"/>
  <c r="N14" i="9" s="1"/>
  <c r="O14" i="9" s="1"/>
  <c r="P14" i="9" s="1"/>
  <c r="F15" i="9"/>
  <c r="G15" i="9" s="1"/>
  <c r="H15" i="9"/>
  <c r="I15" i="9" s="1"/>
  <c r="J15" i="9" s="1"/>
  <c r="K15" i="9" s="1"/>
  <c r="L15" i="9" s="1"/>
  <c r="N15" i="9" s="1"/>
  <c r="O15" i="9" s="1"/>
  <c r="P15" i="9" s="1"/>
  <c r="F16" i="9"/>
  <c r="G16" i="9"/>
  <c r="H16" i="9" s="1"/>
  <c r="I16" i="9" s="1"/>
  <c r="J16" i="9" s="1"/>
  <c r="K16" i="9" s="1"/>
  <c r="L16" i="9" s="1"/>
  <c r="M16" i="9" s="1"/>
  <c r="N16" i="9" s="1"/>
  <c r="O16" i="9" s="1"/>
  <c r="P16" i="9" s="1"/>
  <c r="F17" i="9"/>
  <c r="G17" i="9" s="1"/>
  <c r="H17" i="9"/>
  <c r="I17" i="9" s="1"/>
  <c r="J17" i="9" s="1"/>
  <c r="K17" i="9" s="1"/>
  <c r="L17" i="9" s="1"/>
  <c r="M17" i="9" s="1"/>
  <c r="N17" i="9" s="1"/>
  <c r="O17" i="9" s="1"/>
  <c r="P17" i="9" s="1"/>
  <c r="F18" i="9"/>
  <c r="G18" i="9"/>
  <c r="H18" i="9" s="1"/>
  <c r="I18" i="9" s="1"/>
  <c r="J18" i="9" s="1"/>
  <c r="K18" i="9" s="1"/>
  <c r="L18" i="9" s="1"/>
  <c r="M18" i="9" s="1"/>
  <c r="N18" i="9" s="1"/>
  <c r="O18" i="9" s="1"/>
  <c r="P18" i="9" s="1"/>
  <c r="F19" i="9"/>
  <c r="G19" i="9" s="1"/>
  <c r="H19" i="9"/>
  <c r="J19" i="9" s="1"/>
  <c r="K19" i="9" s="1"/>
  <c r="L19" i="9" s="1"/>
  <c r="M19" i="9" s="1"/>
  <c r="N19" i="9" s="1"/>
  <c r="O19" i="9" s="1"/>
  <c r="P19" i="9" s="1"/>
  <c r="F20" i="9"/>
  <c r="G20" i="9"/>
  <c r="H20" i="9" s="1"/>
  <c r="J20" i="9" s="1"/>
  <c r="K20" i="9" s="1"/>
  <c r="L20" i="9" s="1"/>
  <c r="M20" i="9" s="1"/>
  <c r="N20" i="9" s="1"/>
  <c r="O20" i="9" s="1"/>
  <c r="P20" i="9" s="1"/>
  <c r="F21" i="9"/>
  <c r="G21" i="9" s="1"/>
  <c r="H21" i="9"/>
  <c r="I21" i="9" s="1"/>
  <c r="J21" i="9" s="1"/>
  <c r="K21" i="9" s="1"/>
  <c r="L21" i="9" s="1"/>
  <c r="M21" i="9" s="1"/>
  <c r="N21" i="9" s="1"/>
  <c r="O21" i="9" s="1"/>
  <c r="P21" i="9" s="1"/>
  <c r="F22" i="9"/>
  <c r="H22" i="9"/>
  <c r="I22" i="9" s="1"/>
  <c r="J22" i="9" s="1"/>
  <c r="K22" i="9" s="1"/>
  <c r="L22" i="9" s="1"/>
  <c r="M22" i="9" s="1"/>
  <c r="N22" i="9" s="1"/>
  <c r="O22" i="9" s="1"/>
  <c r="P22" i="9" s="1"/>
  <c r="G23" i="9"/>
  <c r="H23" i="9" s="1"/>
  <c r="I23" i="9" s="1"/>
  <c r="J23" i="9" s="1"/>
  <c r="K23" i="9" s="1"/>
  <c r="L23" i="9" s="1"/>
  <c r="M23" i="9" s="1"/>
  <c r="N23" i="9" s="1"/>
  <c r="O23" i="9" s="1"/>
  <c r="P23" i="9" s="1"/>
  <c r="F24" i="9"/>
  <c r="G24" i="9" s="1"/>
  <c r="H24" i="9" s="1"/>
  <c r="I24" i="9" s="1"/>
  <c r="J24" i="9" s="1"/>
  <c r="K24" i="9" s="1"/>
  <c r="L24" i="9" s="1"/>
  <c r="M24" i="9" s="1"/>
  <c r="N24" i="9" s="1"/>
  <c r="O24" i="9" s="1"/>
  <c r="P24" i="9" s="1"/>
  <c r="G5" i="9"/>
  <c r="H5" i="9" s="1"/>
  <c r="I5" i="9" s="1"/>
  <c r="J5" i="9" s="1"/>
  <c r="K5" i="9" s="1"/>
  <c r="L5" i="9" s="1"/>
  <c r="M5" i="9" s="1"/>
  <c r="N5" i="9" s="1"/>
  <c r="O5" i="9" s="1"/>
  <c r="P5" i="9" s="1"/>
  <c r="F5" i="9"/>
  <c r="K125" i="13" l="1"/>
  <c r="H125" i="13"/>
  <c r="K61" i="13"/>
  <c r="H61" i="13"/>
  <c r="O35" i="5"/>
  <c r="D35" i="5"/>
  <c r="E35" i="5"/>
  <c r="F35" i="5"/>
  <c r="G35" i="5"/>
  <c r="H35" i="5"/>
  <c r="I35" i="5"/>
  <c r="P31" i="5"/>
  <c r="P27" i="5"/>
  <c r="Q27" i="5" s="1"/>
  <c r="R27" i="5" s="1"/>
  <c r="P29" i="5"/>
  <c r="Q29" i="5" s="1"/>
  <c r="R29" i="5" s="1"/>
  <c r="P32" i="5"/>
  <c r="P30" i="5"/>
  <c r="Q30" i="5" s="1"/>
  <c r="R30" i="5" s="1"/>
  <c r="P28" i="5"/>
  <c r="Q28" i="5" s="1"/>
  <c r="R28" i="5" s="1"/>
  <c r="P26" i="5"/>
  <c r="Q26" i="5" s="1"/>
  <c r="R26" i="5" s="1"/>
  <c r="R166" i="5"/>
  <c r="R167" i="5"/>
  <c r="R168" i="5"/>
  <c r="R169" i="5"/>
  <c r="R170" i="5"/>
  <c r="R172" i="5"/>
  <c r="R173" i="5"/>
  <c r="R174" i="5"/>
  <c r="R175" i="5"/>
  <c r="R176" i="5"/>
  <c r="R177" i="5"/>
  <c r="R179" i="5"/>
  <c r="R181" i="5"/>
  <c r="R182" i="5"/>
  <c r="R184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7" i="5"/>
  <c r="R208" i="5"/>
  <c r="R221" i="5"/>
  <c r="R222" i="5"/>
  <c r="R224" i="5"/>
  <c r="J126" i="13" l="1"/>
  <c r="L125" i="13"/>
  <c r="F126" i="13" s="1"/>
  <c r="J62" i="13"/>
  <c r="L61" i="13"/>
  <c r="F62" i="13" s="1"/>
  <c r="R33" i="5"/>
  <c r="R34" i="5"/>
  <c r="R36" i="5"/>
  <c r="R37" i="5"/>
  <c r="R38" i="5"/>
  <c r="R62" i="5"/>
  <c r="R74" i="5"/>
  <c r="R86" i="5"/>
  <c r="R87" i="5"/>
  <c r="R88" i="5"/>
  <c r="R89" i="5"/>
  <c r="R91" i="5"/>
  <c r="R92" i="5"/>
  <c r="R93" i="5"/>
  <c r="R94" i="5"/>
  <c r="R95" i="5"/>
  <c r="R97" i="5"/>
  <c r="R99" i="5"/>
  <c r="R101" i="5"/>
  <c r="R102" i="5"/>
  <c r="R103" i="5"/>
  <c r="R106" i="5"/>
  <c r="R122" i="5"/>
  <c r="R123" i="5"/>
  <c r="R134" i="5"/>
  <c r="R135" i="5"/>
  <c r="R140" i="5"/>
  <c r="R141" i="5"/>
  <c r="R143" i="5"/>
  <c r="R144" i="5"/>
  <c r="R150" i="5"/>
  <c r="R152" i="5"/>
  <c r="R153" i="5"/>
  <c r="R156" i="5"/>
  <c r="R157" i="5"/>
  <c r="R159" i="5"/>
  <c r="R160" i="5"/>
  <c r="R162" i="5"/>
  <c r="R163" i="5"/>
  <c r="I126" i="13" l="1"/>
  <c r="I62" i="13"/>
  <c r="Q114" i="5"/>
  <c r="R114" i="5" s="1"/>
  <c r="K126" i="13" l="1"/>
  <c r="H126" i="13"/>
  <c r="L126" i="13" s="1"/>
  <c r="K62" i="13"/>
  <c r="H62" i="13"/>
  <c r="L62" i="13" s="1"/>
  <c r="D41" i="5"/>
  <c r="E149" i="5" l="1"/>
  <c r="F149" i="5"/>
  <c r="G149" i="5"/>
  <c r="H149" i="5"/>
  <c r="I149" i="5"/>
  <c r="J149" i="5"/>
  <c r="K149" i="5"/>
  <c r="L149" i="5"/>
  <c r="M149" i="5"/>
  <c r="N149" i="5"/>
  <c r="O149" i="5"/>
  <c r="D149" i="5"/>
  <c r="P147" i="5"/>
  <c r="K146" i="5"/>
  <c r="J146" i="5"/>
  <c r="G146" i="5"/>
  <c r="F146" i="5"/>
  <c r="P145" i="5"/>
  <c r="P149" i="5" l="1"/>
  <c r="P146" i="5"/>
  <c r="P234" i="5" l="1"/>
  <c r="P128" i="5" l="1"/>
  <c r="Q106" i="5" l="1"/>
  <c r="P235" i="5"/>
  <c r="E139" i="5"/>
  <c r="F139" i="5"/>
  <c r="G139" i="5"/>
  <c r="H139" i="5"/>
  <c r="I139" i="5"/>
  <c r="J139" i="5"/>
  <c r="K139" i="5"/>
  <c r="L139" i="5"/>
  <c r="M139" i="5"/>
  <c r="N139" i="5"/>
  <c r="O139" i="5"/>
  <c r="N219" i="5" l="1"/>
  <c r="L219" i="5"/>
  <c r="J219" i="5"/>
  <c r="H219" i="5"/>
  <c r="F219" i="5"/>
  <c r="O219" i="5"/>
  <c r="M219" i="5"/>
  <c r="K219" i="5"/>
  <c r="I219" i="5"/>
  <c r="G219" i="5"/>
  <c r="D219" i="5"/>
  <c r="N212" i="5"/>
  <c r="L212" i="5"/>
  <c r="J212" i="5"/>
  <c r="H212" i="5"/>
  <c r="F212" i="5"/>
  <c r="O212" i="5"/>
  <c r="K212" i="5"/>
  <c r="G212" i="5"/>
  <c r="D212" i="5"/>
  <c r="M212" i="5"/>
  <c r="I212" i="5"/>
  <c r="N210" i="5"/>
  <c r="L210" i="5"/>
  <c r="J210" i="5"/>
  <c r="H210" i="5"/>
  <c r="F210" i="5"/>
  <c r="M210" i="5"/>
  <c r="I210" i="5"/>
  <c r="D210" i="5"/>
  <c r="O210" i="5"/>
  <c r="K210" i="5"/>
  <c r="G210" i="5"/>
  <c r="N213" i="5"/>
  <c r="L213" i="5"/>
  <c r="J213" i="5"/>
  <c r="H213" i="5"/>
  <c r="F213" i="5"/>
  <c r="D213" i="5"/>
  <c r="M213" i="5"/>
  <c r="I213" i="5"/>
  <c r="O213" i="5"/>
  <c r="K213" i="5"/>
  <c r="G213" i="5"/>
  <c r="N216" i="5"/>
  <c r="L216" i="5"/>
  <c r="J216" i="5"/>
  <c r="H216" i="5"/>
  <c r="F216" i="5"/>
  <c r="O216" i="5"/>
  <c r="K216" i="5"/>
  <c r="G216" i="5"/>
  <c r="D216" i="5"/>
  <c r="M216" i="5"/>
  <c r="I216" i="5"/>
  <c r="N217" i="5"/>
  <c r="L217" i="5"/>
  <c r="J217" i="5"/>
  <c r="H217" i="5"/>
  <c r="F217" i="5"/>
  <c r="O217" i="5"/>
  <c r="M217" i="5"/>
  <c r="K217" i="5"/>
  <c r="I217" i="5"/>
  <c r="G217" i="5"/>
  <c r="D217" i="5"/>
  <c r="O209" i="5"/>
  <c r="M209" i="5"/>
  <c r="K209" i="5"/>
  <c r="I209" i="5"/>
  <c r="G209" i="5"/>
  <c r="D209" i="5"/>
  <c r="L209" i="5"/>
  <c r="H209" i="5"/>
  <c r="N209" i="5"/>
  <c r="J209" i="5"/>
  <c r="F209" i="5"/>
  <c r="N214" i="5"/>
  <c r="L214" i="5"/>
  <c r="J214" i="5"/>
  <c r="H214" i="5"/>
  <c r="F214" i="5"/>
  <c r="O214" i="5"/>
  <c r="K214" i="5"/>
  <c r="G214" i="5"/>
  <c r="M214" i="5"/>
  <c r="I214" i="5"/>
  <c r="D214" i="5"/>
  <c r="N218" i="5"/>
  <c r="L218" i="5"/>
  <c r="J218" i="5"/>
  <c r="H218" i="5"/>
  <c r="F218" i="5"/>
  <c r="D218" i="5"/>
  <c r="O218" i="5"/>
  <c r="M218" i="5"/>
  <c r="K218" i="5"/>
  <c r="I218" i="5"/>
  <c r="G218" i="5"/>
  <c r="N215" i="5"/>
  <c r="L215" i="5"/>
  <c r="J215" i="5"/>
  <c r="H215" i="5"/>
  <c r="F215" i="5"/>
  <c r="D215" i="5"/>
  <c r="M215" i="5"/>
  <c r="I215" i="5"/>
  <c r="O215" i="5"/>
  <c r="K215" i="5"/>
  <c r="G215" i="5"/>
  <c r="N211" i="5"/>
  <c r="L211" i="5"/>
  <c r="J211" i="5"/>
  <c r="H211" i="5"/>
  <c r="F211" i="5"/>
  <c r="D211" i="5"/>
  <c r="M211" i="5"/>
  <c r="I211" i="5"/>
  <c r="O211" i="5"/>
  <c r="K211" i="5"/>
  <c r="G211" i="5"/>
  <c r="D220" i="5" l="1"/>
  <c r="E237" i="5"/>
  <c r="F237" i="5"/>
  <c r="G237" i="5"/>
  <c r="H237" i="5"/>
  <c r="I237" i="5"/>
  <c r="J237" i="5"/>
  <c r="K237" i="5"/>
  <c r="L237" i="5"/>
  <c r="M237" i="5"/>
  <c r="N237" i="5"/>
  <c r="O237" i="5"/>
  <c r="D237" i="5"/>
  <c r="P233" i="5"/>
  <c r="P236" i="5"/>
  <c r="P237" i="5" l="1"/>
  <c r="P104" i="5"/>
  <c r="P209" i="5" l="1"/>
  <c r="Q209" i="5" s="1"/>
  <c r="R209" i="5" s="1"/>
  <c r="Q110" i="5"/>
  <c r="R110" i="5" s="1"/>
  <c r="Q34" i="5"/>
  <c r="Q36" i="5"/>
  <c r="Q37" i="5"/>
  <c r="Q38" i="5"/>
  <c r="Q62" i="5"/>
  <c r="Q86" i="5"/>
  <c r="Q87" i="5"/>
  <c r="Q88" i="5"/>
  <c r="Q89" i="5"/>
  <c r="Q91" i="5"/>
  <c r="Q92" i="5"/>
  <c r="Q97" i="5"/>
  <c r="Q99" i="5"/>
  <c r="Q101" i="5"/>
  <c r="Q102" i="5"/>
  <c r="Q103" i="5"/>
  <c r="Q104" i="5"/>
  <c r="R104" i="5" s="1"/>
  <c r="Q105" i="5"/>
  <c r="R105" i="5" s="1"/>
  <c r="Q108" i="5"/>
  <c r="R108" i="5" s="1"/>
  <c r="Q109" i="5"/>
  <c r="R109" i="5" s="1"/>
  <c r="Q118" i="5"/>
  <c r="R118" i="5" s="1"/>
  <c r="Q122" i="5"/>
  <c r="Q123" i="5"/>
  <c r="Q130" i="5"/>
  <c r="R130" i="5" s="1"/>
  <c r="Q134" i="5"/>
  <c r="Q135" i="5"/>
  <c r="Q141" i="5"/>
  <c r="Q143" i="5"/>
  <c r="Q144" i="5"/>
  <c r="Q145" i="5"/>
  <c r="R145" i="5" s="1"/>
  <c r="Q147" i="5"/>
  <c r="R147" i="5" s="1"/>
  <c r="Q150" i="5"/>
  <c r="Q152" i="5"/>
  <c r="Q153" i="5"/>
  <c r="Q156" i="5"/>
  <c r="Q157" i="5"/>
  <c r="Q159" i="5"/>
  <c r="Q160" i="5"/>
  <c r="Q162" i="5"/>
  <c r="Q163" i="5"/>
  <c r="Q166" i="5"/>
  <c r="Q170" i="5"/>
  <c r="Q172" i="5"/>
  <c r="Q173" i="5"/>
  <c r="Q174" i="5"/>
  <c r="Q177" i="5"/>
  <c r="Q179" i="5"/>
  <c r="Q181" i="5"/>
  <c r="Q182" i="5"/>
  <c r="Q184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7" i="5"/>
  <c r="Q208" i="5"/>
  <c r="Q221" i="5"/>
  <c r="Q222" i="5"/>
  <c r="Q224" i="5"/>
  <c r="Q133" i="5" l="1"/>
  <c r="R133" i="5" s="1"/>
  <c r="E133" i="5"/>
  <c r="G133" i="5"/>
  <c r="I133" i="5"/>
  <c r="K133" i="5"/>
  <c r="M133" i="5"/>
  <c r="O133" i="5"/>
  <c r="D133" i="5"/>
  <c r="F133" i="5"/>
  <c r="H133" i="5"/>
  <c r="J133" i="5"/>
  <c r="L133" i="5"/>
  <c r="N133" i="5"/>
  <c r="C220" i="5"/>
  <c r="C206" i="5"/>
  <c r="R206" i="5" s="1"/>
  <c r="C185" i="5"/>
  <c r="C178" i="5"/>
  <c r="R178" i="5" s="1"/>
  <c r="C171" i="5"/>
  <c r="R171" i="5" s="1"/>
  <c r="C165" i="5"/>
  <c r="C155" i="5"/>
  <c r="C136" i="5"/>
  <c r="Q115" i="5"/>
  <c r="R115" i="5" s="1"/>
  <c r="Q113" i="5"/>
  <c r="R113" i="5" s="1"/>
  <c r="Q111" i="5"/>
  <c r="R111" i="5" s="1"/>
  <c r="C121" i="5"/>
  <c r="R96" i="5"/>
  <c r="C35" i="5"/>
  <c r="C10" i="5" l="1"/>
  <c r="Q136" i="5"/>
  <c r="R136" i="5"/>
  <c r="C180" i="5"/>
  <c r="C223" i="5" s="1"/>
  <c r="C98" i="5"/>
  <c r="R98" i="5" s="1"/>
  <c r="Q96" i="5"/>
  <c r="C90" i="5"/>
  <c r="C100" i="5" l="1"/>
  <c r="O171" i="5"/>
  <c r="N171" i="5"/>
  <c r="M171" i="5"/>
  <c r="L171" i="5"/>
  <c r="K171" i="5"/>
  <c r="J171" i="5"/>
  <c r="I171" i="5"/>
  <c r="H171" i="5"/>
  <c r="G171" i="5"/>
  <c r="F171" i="5"/>
  <c r="D171" i="5"/>
  <c r="P170" i="5"/>
  <c r="P169" i="5"/>
  <c r="Q169" i="5" s="1"/>
  <c r="P210" i="5"/>
  <c r="Q210" i="5" s="1"/>
  <c r="R210" i="5" s="1"/>
  <c r="P211" i="5"/>
  <c r="Q211" i="5" s="1"/>
  <c r="R211" i="5" s="1"/>
  <c r="P212" i="5"/>
  <c r="Q212" i="5" s="1"/>
  <c r="R212" i="5" s="1"/>
  <c r="P213" i="5"/>
  <c r="Q213" i="5" s="1"/>
  <c r="R213" i="5" s="1"/>
  <c r="P214" i="5"/>
  <c r="Q214" i="5" s="1"/>
  <c r="R214" i="5" s="1"/>
  <c r="P215" i="5"/>
  <c r="Q215" i="5" s="1"/>
  <c r="R215" i="5" s="1"/>
  <c r="P216" i="5"/>
  <c r="Q216" i="5" s="1"/>
  <c r="R216" i="5" s="1"/>
  <c r="P217" i="5"/>
  <c r="Q217" i="5" s="1"/>
  <c r="R217" i="5" s="1"/>
  <c r="P218" i="5"/>
  <c r="Q218" i="5" s="1"/>
  <c r="R218" i="5" s="1"/>
  <c r="P219" i="5"/>
  <c r="Q219" i="5" s="1"/>
  <c r="R219" i="5" s="1"/>
  <c r="E220" i="5"/>
  <c r="F220" i="5"/>
  <c r="G220" i="5"/>
  <c r="H220" i="5"/>
  <c r="I220" i="5"/>
  <c r="J220" i="5"/>
  <c r="K220" i="5"/>
  <c r="L220" i="5"/>
  <c r="M220" i="5"/>
  <c r="N220" i="5"/>
  <c r="O220" i="5"/>
  <c r="E171" i="5" l="1"/>
  <c r="P184" i="5"/>
  <c r="P220" i="5"/>
  <c r="Q220" i="5" s="1"/>
  <c r="R220" i="5" s="1"/>
  <c r="Q168" i="5" l="1"/>
  <c r="P154" i="5"/>
  <c r="Q154" i="5" s="1"/>
  <c r="R154" i="5" s="1"/>
  <c r="P171" i="5" l="1"/>
  <c r="Q171" i="5" s="1"/>
  <c r="Q149" i="5" l="1"/>
  <c r="R149" i="5" s="1"/>
  <c r="E147" i="5"/>
  <c r="F147" i="5"/>
  <c r="G147" i="5"/>
  <c r="H147" i="5"/>
  <c r="I147" i="5"/>
  <c r="J147" i="5"/>
  <c r="K147" i="5"/>
  <c r="L147" i="5"/>
  <c r="M147" i="5"/>
  <c r="N147" i="5"/>
  <c r="O147" i="5"/>
  <c r="D147" i="5"/>
  <c r="Q146" i="5"/>
  <c r="R146" i="5" s="1"/>
  <c r="L130" i="5"/>
  <c r="F130" i="5"/>
  <c r="F134" i="5" l="1"/>
  <c r="G134" i="5"/>
  <c r="H134" i="5"/>
  <c r="I134" i="5"/>
  <c r="J134" i="5"/>
  <c r="K134" i="5"/>
  <c r="L134" i="5"/>
  <c r="M134" i="5"/>
  <c r="N134" i="5"/>
  <c r="O134" i="5"/>
  <c r="F135" i="5"/>
  <c r="G135" i="5"/>
  <c r="H135" i="5"/>
  <c r="I135" i="5"/>
  <c r="J135" i="5"/>
  <c r="K135" i="5"/>
  <c r="L135" i="5"/>
  <c r="M135" i="5"/>
  <c r="N135" i="5"/>
  <c r="O135" i="5"/>
  <c r="F136" i="5"/>
  <c r="G136" i="5"/>
  <c r="H136" i="5"/>
  <c r="I136" i="5"/>
  <c r="J136" i="5"/>
  <c r="K136" i="5"/>
  <c r="L136" i="5"/>
  <c r="M136" i="5"/>
  <c r="N136" i="5"/>
  <c r="O136" i="5"/>
  <c r="G124" i="5"/>
  <c r="H124" i="5"/>
  <c r="I124" i="5"/>
  <c r="J124" i="5"/>
  <c r="K124" i="5"/>
  <c r="L124" i="5"/>
  <c r="M124" i="5"/>
  <c r="N124" i="5"/>
  <c r="O124" i="5"/>
  <c r="C124" i="5" s="1"/>
  <c r="F124" i="5"/>
  <c r="E134" i="5"/>
  <c r="E135" i="5"/>
  <c r="E136" i="5"/>
  <c r="E124" i="5"/>
  <c r="D134" i="5"/>
  <c r="D135" i="5"/>
  <c r="D136" i="5"/>
  <c r="D124" i="5"/>
  <c r="Q124" i="5" l="1"/>
  <c r="R124" i="5"/>
  <c r="Q128" i="5"/>
  <c r="R128" i="5" s="1"/>
  <c r="Q119" i="5"/>
  <c r="R119" i="5" s="1"/>
  <c r="N117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Q116" i="5" l="1"/>
  <c r="R116" i="5" s="1"/>
  <c r="P95" i="5" l="1"/>
  <c r="Q95" i="5" s="1"/>
  <c r="P94" i="5"/>
  <c r="Q94" i="5" s="1"/>
  <c r="P93" i="5"/>
  <c r="Q93" i="5" s="1"/>
  <c r="D65" i="5" l="1"/>
  <c r="E65" i="5"/>
  <c r="F65" i="5"/>
  <c r="G65" i="5"/>
  <c r="H65" i="5"/>
  <c r="I65" i="5"/>
  <c r="J65" i="5"/>
  <c r="K65" i="5"/>
  <c r="L65" i="5"/>
  <c r="M65" i="5"/>
  <c r="N65" i="5"/>
  <c r="O65" i="5"/>
  <c r="D66" i="5"/>
  <c r="E66" i="5"/>
  <c r="F66" i="5"/>
  <c r="G66" i="5"/>
  <c r="H66" i="5"/>
  <c r="I66" i="5"/>
  <c r="J66" i="5"/>
  <c r="K66" i="5"/>
  <c r="L66" i="5"/>
  <c r="M66" i="5"/>
  <c r="N66" i="5"/>
  <c r="O66" i="5"/>
  <c r="D67" i="5"/>
  <c r="E67" i="5"/>
  <c r="F67" i="5"/>
  <c r="G67" i="5"/>
  <c r="H67" i="5"/>
  <c r="I67" i="5"/>
  <c r="J67" i="5"/>
  <c r="K67" i="5"/>
  <c r="L67" i="5"/>
  <c r="M67" i="5"/>
  <c r="N67" i="5"/>
  <c r="O67" i="5"/>
  <c r="D68" i="5"/>
  <c r="E68" i="5"/>
  <c r="F68" i="5"/>
  <c r="G68" i="5"/>
  <c r="H68" i="5"/>
  <c r="I68" i="5"/>
  <c r="J68" i="5"/>
  <c r="K68" i="5"/>
  <c r="L68" i="5"/>
  <c r="M68" i="5"/>
  <c r="N68" i="5"/>
  <c r="O68" i="5"/>
  <c r="D69" i="5"/>
  <c r="E69" i="5"/>
  <c r="F69" i="5"/>
  <c r="G69" i="5"/>
  <c r="H69" i="5"/>
  <c r="I69" i="5"/>
  <c r="J69" i="5"/>
  <c r="K69" i="5"/>
  <c r="L69" i="5"/>
  <c r="M69" i="5"/>
  <c r="N69" i="5"/>
  <c r="O69" i="5"/>
  <c r="D70" i="5"/>
  <c r="E70" i="5"/>
  <c r="F70" i="5"/>
  <c r="G70" i="5"/>
  <c r="H70" i="5"/>
  <c r="I70" i="5"/>
  <c r="J70" i="5"/>
  <c r="K70" i="5"/>
  <c r="L70" i="5"/>
  <c r="M70" i="5"/>
  <c r="N70" i="5"/>
  <c r="O70" i="5"/>
  <c r="D71" i="5"/>
  <c r="E71" i="5"/>
  <c r="F71" i="5"/>
  <c r="G71" i="5"/>
  <c r="H71" i="5"/>
  <c r="I71" i="5"/>
  <c r="J71" i="5"/>
  <c r="K71" i="5"/>
  <c r="L71" i="5"/>
  <c r="M71" i="5"/>
  <c r="N71" i="5"/>
  <c r="O71" i="5"/>
  <c r="D72" i="5"/>
  <c r="E72" i="5"/>
  <c r="F72" i="5"/>
  <c r="G72" i="5"/>
  <c r="H72" i="5"/>
  <c r="I72" i="5"/>
  <c r="J72" i="5"/>
  <c r="K72" i="5"/>
  <c r="L72" i="5"/>
  <c r="M72" i="5"/>
  <c r="N72" i="5"/>
  <c r="O72" i="5"/>
  <c r="D73" i="5"/>
  <c r="E73" i="5"/>
  <c r="F73" i="5"/>
  <c r="G73" i="5"/>
  <c r="H73" i="5"/>
  <c r="I73" i="5"/>
  <c r="J73" i="5"/>
  <c r="K73" i="5"/>
  <c r="L73" i="5"/>
  <c r="M73" i="5"/>
  <c r="N73" i="5"/>
  <c r="O73" i="5"/>
  <c r="D74" i="5"/>
  <c r="E74" i="5"/>
  <c r="F74" i="5"/>
  <c r="G74" i="5"/>
  <c r="H74" i="5"/>
  <c r="I74" i="5"/>
  <c r="J74" i="5"/>
  <c r="K74" i="5"/>
  <c r="L74" i="5"/>
  <c r="M74" i="5"/>
  <c r="N74" i="5"/>
  <c r="O74" i="5"/>
  <c r="D75" i="5"/>
  <c r="E75" i="5"/>
  <c r="F75" i="5"/>
  <c r="G75" i="5"/>
  <c r="H75" i="5"/>
  <c r="I75" i="5"/>
  <c r="J75" i="5"/>
  <c r="K75" i="5"/>
  <c r="L75" i="5"/>
  <c r="M75" i="5"/>
  <c r="N75" i="5"/>
  <c r="O75" i="5"/>
  <c r="D76" i="5"/>
  <c r="E76" i="5"/>
  <c r="F76" i="5"/>
  <c r="G76" i="5"/>
  <c r="H76" i="5"/>
  <c r="I76" i="5"/>
  <c r="J76" i="5"/>
  <c r="K76" i="5"/>
  <c r="L76" i="5"/>
  <c r="M76" i="5"/>
  <c r="N76" i="5"/>
  <c r="O76" i="5"/>
  <c r="D77" i="5"/>
  <c r="E77" i="5"/>
  <c r="F77" i="5"/>
  <c r="G77" i="5"/>
  <c r="H77" i="5"/>
  <c r="I77" i="5"/>
  <c r="J77" i="5"/>
  <c r="K77" i="5"/>
  <c r="L77" i="5"/>
  <c r="M77" i="5"/>
  <c r="N77" i="5"/>
  <c r="O77" i="5"/>
  <c r="D78" i="5"/>
  <c r="E78" i="5"/>
  <c r="F78" i="5"/>
  <c r="G78" i="5"/>
  <c r="H78" i="5"/>
  <c r="I78" i="5"/>
  <c r="J78" i="5"/>
  <c r="K78" i="5"/>
  <c r="L78" i="5"/>
  <c r="M78" i="5"/>
  <c r="N78" i="5"/>
  <c r="O78" i="5"/>
  <c r="O64" i="5"/>
  <c r="N64" i="5"/>
  <c r="M64" i="5"/>
  <c r="L64" i="5"/>
  <c r="K64" i="5"/>
  <c r="J64" i="5"/>
  <c r="I64" i="5"/>
  <c r="H64" i="5"/>
  <c r="G64" i="5"/>
  <c r="F64" i="5"/>
  <c r="E64" i="5"/>
  <c r="D64" i="5"/>
  <c r="D42" i="5"/>
  <c r="E42" i="5"/>
  <c r="F42" i="5"/>
  <c r="G42" i="5"/>
  <c r="H42" i="5"/>
  <c r="I42" i="5"/>
  <c r="J42" i="5"/>
  <c r="K42" i="5"/>
  <c r="L42" i="5"/>
  <c r="M42" i="5"/>
  <c r="N42" i="5"/>
  <c r="O42" i="5"/>
  <c r="D43" i="5"/>
  <c r="E43" i="5"/>
  <c r="F43" i="5"/>
  <c r="G43" i="5"/>
  <c r="H43" i="5"/>
  <c r="I43" i="5"/>
  <c r="J43" i="5"/>
  <c r="K43" i="5"/>
  <c r="L43" i="5"/>
  <c r="M43" i="5"/>
  <c r="N43" i="5"/>
  <c r="O43" i="5"/>
  <c r="D44" i="5"/>
  <c r="E44" i="5"/>
  <c r="F44" i="5"/>
  <c r="G44" i="5"/>
  <c r="H44" i="5"/>
  <c r="I44" i="5"/>
  <c r="J44" i="5"/>
  <c r="K44" i="5"/>
  <c r="L44" i="5"/>
  <c r="M44" i="5"/>
  <c r="N44" i="5"/>
  <c r="O44" i="5"/>
  <c r="D45" i="5"/>
  <c r="E45" i="5"/>
  <c r="F45" i="5"/>
  <c r="G45" i="5"/>
  <c r="H45" i="5"/>
  <c r="I45" i="5"/>
  <c r="J45" i="5"/>
  <c r="K45" i="5"/>
  <c r="L45" i="5"/>
  <c r="M45" i="5"/>
  <c r="N45" i="5"/>
  <c r="O45" i="5"/>
  <c r="D46" i="5"/>
  <c r="E46" i="5"/>
  <c r="F46" i="5"/>
  <c r="G46" i="5"/>
  <c r="H46" i="5"/>
  <c r="I46" i="5"/>
  <c r="J46" i="5"/>
  <c r="K46" i="5"/>
  <c r="L46" i="5"/>
  <c r="M46" i="5"/>
  <c r="N46" i="5"/>
  <c r="O46" i="5"/>
  <c r="D47" i="5"/>
  <c r="E47" i="5"/>
  <c r="F47" i="5"/>
  <c r="G47" i="5"/>
  <c r="H47" i="5"/>
  <c r="I47" i="5"/>
  <c r="J47" i="5"/>
  <c r="K47" i="5"/>
  <c r="L47" i="5"/>
  <c r="M47" i="5"/>
  <c r="N47" i="5"/>
  <c r="O47" i="5"/>
  <c r="D48" i="5"/>
  <c r="E48" i="5"/>
  <c r="F48" i="5"/>
  <c r="G48" i="5"/>
  <c r="H48" i="5"/>
  <c r="I48" i="5"/>
  <c r="J48" i="5"/>
  <c r="K48" i="5"/>
  <c r="L48" i="5"/>
  <c r="M48" i="5"/>
  <c r="N48" i="5"/>
  <c r="O48" i="5"/>
  <c r="D49" i="5"/>
  <c r="E49" i="5"/>
  <c r="F49" i="5"/>
  <c r="G49" i="5"/>
  <c r="H49" i="5"/>
  <c r="I49" i="5"/>
  <c r="J49" i="5"/>
  <c r="K49" i="5"/>
  <c r="L49" i="5"/>
  <c r="M49" i="5"/>
  <c r="N49" i="5"/>
  <c r="O49" i="5"/>
  <c r="D50" i="5"/>
  <c r="E50" i="5"/>
  <c r="F50" i="5"/>
  <c r="G50" i="5"/>
  <c r="H50" i="5"/>
  <c r="I50" i="5"/>
  <c r="J50" i="5"/>
  <c r="K50" i="5"/>
  <c r="L50" i="5"/>
  <c r="M50" i="5"/>
  <c r="N50" i="5"/>
  <c r="O50" i="5"/>
  <c r="D51" i="5"/>
  <c r="E51" i="5"/>
  <c r="F51" i="5"/>
  <c r="G51" i="5"/>
  <c r="H51" i="5"/>
  <c r="I51" i="5"/>
  <c r="J51" i="5"/>
  <c r="K51" i="5"/>
  <c r="L51" i="5"/>
  <c r="M51" i="5"/>
  <c r="N51" i="5"/>
  <c r="O51" i="5"/>
  <c r="D52" i="5"/>
  <c r="E52" i="5"/>
  <c r="F52" i="5"/>
  <c r="G52" i="5"/>
  <c r="H52" i="5"/>
  <c r="I52" i="5"/>
  <c r="J52" i="5"/>
  <c r="K52" i="5"/>
  <c r="L52" i="5"/>
  <c r="M52" i="5"/>
  <c r="N52" i="5"/>
  <c r="O52" i="5"/>
  <c r="D53" i="5"/>
  <c r="E53" i="5"/>
  <c r="F53" i="5"/>
  <c r="G53" i="5"/>
  <c r="H53" i="5"/>
  <c r="I53" i="5"/>
  <c r="J53" i="5"/>
  <c r="K53" i="5"/>
  <c r="L53" i="5"/>
  <c r="M53" i="5"/>
  <c r="N53" i="5"/>
  <c r="O53" i="5"/>
  <c r="D54" i="5"/>
  <c r="E54" i="5"/>
  <c r="F54" i="5"/>
  <c r="G54" i="5"/>
  <c r="H54" i="5"/>
  <c r="I54" i="5"/>
  <c r="J54" i="5"/>
  <c r="K54" i="5"/>
  <c r="L54" i="5"/>
  <c r="M54" i="5"/>
  <c r="N54" i="5"/>
  <c r="O54" i="5"/>
  <c r="E41" i="5"/>
  <c r="F41" i="5"/>
  <c r="G41" i="5"/>
  <c r="H41" i="5"/>
  <c r="I41" i="5"/>
  <c r="J41" i="5"/>
  <c r="K41" i="5"/>
  <c r="L41" i="5"/>
  <c r="M41" i="5"/>
  <c r="N41" i="5"/>
  <c r="O41" i="5"/>
  <c r="D40" i="5"/>
  <c r="E40" i="5"/>
  <c r="F40" i="5"/>
  <c r="G40" i="5"/>
  <c r="H40" i="5"/>
  <c r="I40" i="5"/>
  <c r="J40" i="5"/>
  <c r="K40" i="5"/>
  <c r="L40" i="5"/>
  <c r="M40" i="5"/>
  <c r="N40" i="5"/>
  <c r="O40" i="5"/>
  <c r="P31" i="12"/>
  <c r="O31" i="12"/>
  <c r="N31" i="12"/>
  <c r="M31" i="12"/>
  <c r="L31" i="12"/>
  <c r="K31" i="12"/>
  <c r="J31" i="12"/>
  <c r="I31" i="12"/>
  <c r="H31" i="12"/>
  <c r="G31" i="12"/>
  <c r="F31" i="12"/>
  <c r="E31" i="12"/>
  <c r="Q31" i="12" s="1"/>
  <c r="Q20" i="12"/>
  <c r="Q19" i="12"/>
  <c r="Q18" i="12"/>
  <c r="Q17" i="12"/>
  <c r="Q16" i="12"/>
  <c r="Q15" i="12"/>
  <c r="Q14" i="12"/>
  <c r="Q13" i="12"/>
  <c r="Q12" i="12"/>
  <c r="Q11" i="12"/>
  <c r="Q10" i="12"/>
  <c r="Q9" i="12"/>
  <c r="Q8" i="12"/>
  <c r="Q7" i="12"/>
  <c r="C7" i="12"/>
  <c r="C30" i="12" s="1"/>
  <c r="Q6" i="12"/>
  <c r="P29" i="11"/>
  <c r="O29" i="11"/>
  <c r="N29" i="11"/>
  <c r="M29" i="11"/>
  <c r="L29" i="11"/>
  <c r="K29" i="11"/>
  <c r="J29" i="11"/>
  <c r="I29" i="11"/>
  <c r="H29" i="11"/>
  <c r="G29" i="11"/>
  <c r="F29" i="11"/>
  <c r="E29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C7" i="11"/>
  <c r="C28" i="11" s="1"/>
  <c r="Q6" i="11"/>
  <c r="Q29" i="11" l="1"/>
  <c r="P78" i="5"/>
  <c r="Q78" i="5" s="1"/>
  <c r="R78" i="5" s="1"/>
  <c r="P76" i="5"/>
  <c r="Q76" i="5" s="1"/>
  <c r="R76" i="5" s="1"/>
  <c r="P74" i="5"/>
  <c r="Q74" i="5" s="1"/>
  <c r="P72" i="5"/>
  <c r="Q72" i="5" s="1"/>
  <c r="R72" i="5" s="1"/>
  <c r="P70" i="5"/>
  <c r="Q70" i="5" s="1"/>
  <c r="R70" i="5" s="1"/>
  <c r="P68" i="5"/>
  <c r="Q68" i="5" s="1"/>
  <c r="R68" i="5" s="1"/>
  <c r="P66" i="5"/>
  <c r="Q66" i="5" s="1"/>
  <c r="R66" i="5" s="1"/>
  <c r="P77" i="5"/>
  <c r="Q77" i="5" s="1"/>
  <c r="R77" i="5" s="1"/>
  <c r="P75" i="5"/>
  <c r="Q75" i="5" s="1"/>
  <c r="R75" i="5" s="1"/>
  <c r="P73" i="5"/>
  <c r="Q73" i="5" s="1"/>
  <c r="R73" i="5" s="1"/>
  <c r="P71" i="5"/>
  <c r="Q71" i="5" s="1"/>
  <c r="R71" i="5" s="1"/>
  <c r="P69" i="5"/>
  <c r="Q69" i="5" s="1"/>
  <c r="R69" i="5" s="1"/>
  <c r="P67" i="5"/>
  <c r="Q67" i="5" s="1"/>
  <c r="R67" i="5" s="1"/>
  <c r="P65" i="5"/>
  <c r="Q65" i="5" s="1"/>
  <c r="R65" i="5" s="1"/>
  <c r="P41" i="5"/>
  <c r="Q41" i="5" s="1"/>
  <c r="R41" i="5" s="1"/>
  <c r="P40" i="5"/>
  <c r="Q40" i="5" s="1"/>
  <c r="R40" i="5" s="1"/>
  <c r="P54" i="5"/>
  <c r="Q54" i="5" s="1"/>
  <c r="R54" i="5" s="1"/>
  <c r="P53" i="5"/>
  <c r="Q53" i="5" s="1"/>
  <c r="R53" i="5" s="1"/>
  <c r="P52" i="5"/>
  <c r="Q52" i="5" s="1"/>
  <c r="R52" i="5" s="1"/>
  <c r="P51" i="5"/>
  <c r="Q51" i="5" s="1"/>
  <c r="R51" i="5" s="1"/>
  <c r="P50" i="5"/>
  <c r="Q50" i="5" s="1"/>
  <c r="R50" i="5" s="1"/>
  <c r="P49" i="5"/>
  <c r="Q49" i="5" s="1"/>
  <c r="R49" i="5" s="1"/>
  <c r="P48" i="5"/>
  <c r="Q48" i="5" s="1"/>
  <c r="R48" i="5" s="1"/>
  <c r="P47" i="5"/>
  <c r="Q47" i="5" s="1"/>
  <c r="R47" i="5" s="1"/>
  <c r="P46" i="5"/>
  <c r="Q46" i="5" s="1"/>
  <c r="R46" i="5" s="1"/>
  <c r="P45" i="5"/>
  <c r="Q45" i="5" s="1"/>
  <c r="R45" i="5" s="1"/>
  <c r="P44" i="5"/>
  <c r="Q44" i="5" s="1"/>
  <c r="R44" i="5" s="1"/>
  <c r="P43" i="5"/>
  <c r="Q43" i="5" s="1"/>
  <c r="R43" i="5" s="1"/>
  <c r="P42" i="5"/>
  <c r="Q42" i="5" s="1"/>
  <c r="R42" i="5" s="1"/>
  <c r="Q14" i="10" l="1"/>
  <c r="Q15" i="10"/>
  <c r="Q16" i="10"/>
  <c r="Q17" i="10"/>
  <c r="Q18" i="10"/>
  <c r="Q19" i="10"/>
  <c r="Q20" i="10"/>
  <c r="C7" i="10"/>
  <c r="F10" i="5" l="1"/>
  <c r="H10" i="5"/>
  <c r="J10" i="5"/>
  <c r="L10" i="5"/>
  <c r="N10" i="5"/>
  <c r="D10" i="5"/>
  <c r="E10" i="5"/>
  <c r="G10" i="5"/>
  <c r="I10" i="5"/>
  <c r="K10" i="5"/>
  <c r="M10" i="5"/>
  <c r="O10" i="5"/>
  <c r="P13" i="5"/>
  <c r="Q13" i="5" s="1"/>
  <c r="R13" i="5" s="1"/>
  <c r="P23" i="5"/>
  <c r="Q23" i="5" s="1"/>
  <c r="R23" i="5" s="1"/>
  <c r="P12" i="5"/>
  <c r="Q12" i="5" s="1"/>
  <c r="R12" i="5" s="1"/>
  <c r="P21" i="5"/>
  <c r="Q21" i="5" s="1"/>
  <c r="R21" i="5" s="1"/>
  <c r="P19" i="5"/>
  <c r="Q19" i="5" s="1"/>
  <c r="R19" i="5" s="1"/>
  <c r="P17" i="5"/>
  <c r="Q17" i="5" s="1"/>
  <c r="R17" i="5" s="1"/>
  <c r="P25" i="5"/>
  <c r="Q25" i="5" s="1"/>
  <c r="R25" i="5" s="1"/>
  <c r="P22" i="5"/>
  <c r="Q22" i="5" s="1"/>
  <c r="R22" i="5" s="1"/>
  <c r="P15" i="5"/>
  <c r="Q15" i="5" s="1"/>
  <c r="R15" i="5" s="1"/>
  <c r="P24" i="5"/>
  <c r="Q24" i="5" s="1"/>
  <c r="R24" i="5" s="1"/>
  <c r="P18" i="5"/>
  <c r="Q18" i="5" s="1"/>
  <c r="R18" i="5" s="1"/>
  <c r="P16" i="5"/>
  <c r="Q16" i="5" s="1"/>
  <c r="R16" i="5" s="1"/>
  <c r="P20" i="5"/>
  <c r="Q20" i="5" s="1"/>
  <c r="R20" i="5" s="1"/>
  <c r="P14" i="5"/>
  <c r="Q14" i="5" s="1"/>
  <c r="R14" i="5" s="1"/>
  <c r="P11" i="5"/>
  <c r="Q11" i="5" l="1"/>
  <c r="P35" i="5"/>
  <c r="P10" i="5"/>
  <c r="Q10" i="5" s="1"/>
  <c r="R10" i="5" s="1"/>
  <c r="R11" i="5" l="1"/>
  <c r="Q35" i="5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5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C32" i="9"/>
  <c r="Q33" i="9" l="1"/>
  <c r="E39" i="5" l="1"/>
  <c r="F39" i="5"/>
  <c r="G39" i="5"/>
  <c r="H39" i="5"/>
  <c r="I39" i="5"/>
  <c r="J39" i="5"/>
  <c r="K39" i="5"/>
  <c r="L39" i="5"/>
  <c r="M39" i="5"/>
  <c r="N39" i="5"/>
  <c r="O39" i="5"/>
  <c r="D39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D178" i="5" l="1"/>
  <c r="E178" i="5"/>
  <c r="F178" i="5"/>
  <c r="G178" i="5"/>
  <c r="H178" i="5"/>
  <c r="I178" i="5"/>
  <c r="J178" i="5"/>
  <c r="K178" i="5"/>
  <c r="L178" i="5"/>
  <c r="M178" i="5"/>
  <c r="N178" i="5"/>
  <c r="O178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76" i="5"/>
  <c r="Q176" i="5" s="1"/>
  <c r="Q175" i="5"/>
  <c r="P183" i="5"/>
  <c r="Q183" i="5" s="1"/>
  <c r="R183" i="5" s="1"/>
  <c r="D155" i="5"/>
  <c r="E155" i="5"/>
  <c r="F155" i="5"/>
  <c r="G155" i="5"/>
  <c r="H155" i="5"/>
  <c r="I155" i="5"/>
  <c r="J155" i="5"/>
  <c r="K155" i="5"/>
  <c r="L155" i="5"/>
  <c r="M155" i="5"/>
  <c r="N155" i="5"/>
  <c r="O155" i="5"/>
  <c r="P164" i="5"/>
  <c r="P165" i="5" l="1"/>
  <c r="Q165" i="5" s="1"/>
  <c r="R165" i="5" s="1"/>
  <c r="Q164" i="5"/>
  <c r="R164" i="5" s="1"/>
  <c r="P34" i="10"/>
  <c r="O34" i="10"/>
  <c r="N34" i="10"/>
  <c r="M34" i="10"/>
  <c r="L34" i="10"/>
  <c r="K34" i="10"/>
  <c r="J34" i="10"/>
  <c r="H34" i="10"/>
  <c r="G34" i="10"/>
  <c r="F34" i="10"/>
  <c r="E34" i="10"/>
  <c r="C33" i="10"/>
  <c r="Q13" i="10"/>
  <c r="I34" i="10"/>
  <c r="Q12" i="10"/>
  <c r="Q11" i="10"/>
  <c r="Q10" i="10"/>
  <c r="Q9" i="10"/>
  <c r="Q8" i="10"/>
  <c r="Q7" i="10"/>
  <c r="Q6" i="10"/>
  <c r="E90" i="8"/>
  <c r="E91" i="8" s="1"/>
  <c r="E92" i="8" s="1"/>
  <c r="B80" i="8"/>
  <c r="E71" i="8"/>
  <c r="E72" i="8" s="1"/>
  <c r="E73" i="8" s="1"/>
  <c r="B61" i="8"/>
  <c r="B49" i="8"/>
  <c r="B51" i="8" s="1"/>
  <c r="B33" i="8"/>
  <c r="B25" i="8"/>
  <c r="B24" i="8"/>
  <c r="B26" i="8" s="1"/>
  <c r="B28" i="8" s="1"/>
  <c r="S14" i="8"/>
  <c r="R14" i="8"/>
  <c r="Q14" i="8"/>
  <c r="N14" i="8"/>
  <c r="M14" i="8"/>
  <c r="L14" i="8"/>
  <c r="K14" i="8"/>
  <c r="D12" i="8"/>
  <c r="D11" i="8"/>
  <c r="D10" i="8"/>
  <c r="W9" i="8"/>
  <c r="D9" i="8"/>
  <c r="W8" i="8"/>
  <c r="D8" i="8"/>
  <c r="W7" i="8"/>
  <c r="D6" i="8"/>
  <c r="D5" i="8"/>
  <c r="D4" i="8"/>
  <c r="D3" i="8"/>
  <c r="D2" i="8"/>
  <c r="D14" i="8" s="1"/>
  <c r="D15" i="8" s="1"/>
  <c r="P31" i="7"/>
  <c r="P30" i="7"/>
  <c r="P29" i="7"/>
  <c r="P21" i="7"/>
  <c r="P20" i="7"/>
  <c r="B17" i="7"/>
  <c r="H14" i="7" s="1"/>
  <c r="B11" i="7"/>
  <c r="P9" i="7"/>
  <c r="G3" i="7"/>
  <c r="J3" i="7" s="1"/>
  <c r="L3" i="7" s="1"/>
  <c r="F88" i="4"/>
  <c r="F87" i="4"/>
  <c r="F86" i="4"/>
  <c r="P177" i="5"/>
  <c r="F78" i="4" s="1"/>
  <c r="F74" i="4"/>
  <c r="P155" i="5"/>
  <c r="Q155" i="5" s="1"/>
  <c r="R155" i="5" s="1"/>
  <c r="F54" i="4"/>
  <c r="F51" i="4"/>
  <c r="Q139" i="5"/>
  <c r="R139" i="5" s="1"/>
  <c r="P138" i="5"/>
  <c r="Q138" i="5" s="1"/>
  <c r="R138" i="5" s="1"/>
  <c r="P137" i="5"/>
  <c r="C137" i="5" s="1"/>
  <c r="F43" i="4"/>
  <c r="P132" i="5"/>
  <c r="C132" i="5" s="1"/>
  <c r="P127" i="5"/>
  <c r="C127" i="5" s="1"/>
  <c r="P126" i="5"/>
  <c r="C126" i="5" s="1"/>
  <c r="P125" i="5"/>
  <c r="C125" i="5" s="1"/>
  <c r="G80" i="6"/>
  <c r="F80" i="6"/>
  <c r="E80" i="6"/>
  <c r="P78" i="6"/>
  <c r="O78" i="6"/>
  <c r="N78" i="6"/>
  <c r="M78" i="6"/>
  <c r="L78" i="6"/>
  <c r="K78" i="6"/>
  <c r="J78" i="6"/>
  <c r="I78" i="6"/>
  <c r="H78" i="6"/>
  <c r="G78" i="6"/>
  <c r="F78" i="6"/>
  <c r="E78" i="6"/>
  <c r="Q78" i="6" s="1"/>
  <c r="P75" i="6"/>
  <c r="O75" i="6"/>
  <c r="N75" i="6"/>
  <c r="M75" i="6"/>
  <c r="L75" i="6"/>
  <c r="K75" i="6"/>
  <c r="J75" i="6"/>
  <c r="I75" i="6"/>
  <c r="H75" i="6"/>
  <c r="G75" i="6"/>
  <c r="F75" i="6"/>
  <c r="E75" i="6"/>
  <c r="J73" i="6"/>
  <c r="I73" i="6"/>
  <c r="H73" i="6"/>
  <c r="I71" i="6"/>
  <c r="Q71" i="6" s="1"/>
  <c r="P69" i="6"/>
  <c r="O69" i="6"/>
  <c r="N69" i="6"/>
  <c r="M69" i="6"/>
  <c r="L69" i="6"/>
  <c r="K69" i="6"/>
  <c r="J69" i="6"/>
  <c r="I69" i="6"/>
  <c r="H69" i="6"/>
  <c r="G69" i="6"/>
  <c r="F69" i="6"/>
  <c r="E69" i="6"/>
  <c r="P65" i="6"/>
  <c r="O65" i="6"/>
  <c r="N65" i="6"/>
  <c r="M65" i="6"/>
  <c r="L65" i="6"/>
  <c r="K65" i="6"/>
  <c r="J65" i="6"/>
  <c r="I65" i="6"/>
  <c r="H65" i="6"/>
  <c r="G65" i="6"/>
  <c r="F65" i="6"/>
  <c r="E65" i="6"/>
  <c r="P64" i="6"/>
  <c r="O64" i="6"/>
  <c r="N64" i="6"/>
  <c r="M64" i="6"/>
  <c r="L64" i="6"/>
  <c r="K64" i="6"/>
  <c r="J64" i="6"/>
  <c r="I64" i="6"/>
  <c r="H64" i="6"/>
  <c r="P60" i="6"/>
  <c r="O60" i="6"/>
  <c r="N60" i="6"/>
  <c r="M60" i="6"/>
  <c r="L60" i="6"/>
  <c r="K60" i="6"/>
  <c r="J60" i="6"/>
  <c r="I60" i="6"/>
  <c r="H60" i="6"/>
  <c r="G60" i="6"/>
  <c r="F60" i="6"/>
  <c r="E60" i="6"/>
  <c r="R58" i="6"/>
  <c r="R54" i="6"/>
  <c r="Q54" i="6"/>
  <c r="D54" i="6"/>
  <c r="R53" i="6"/>
  <c r="P53" i="6"/>
  <c r="O53" i="6"/>
  <c r="N53" i="6"/>
  <c r="M53" i="6"/>
  <c r="L53" i="6"/>
  <c r="K53" i="6"/>
  <c r="J53" i="6"/>
  <c r="I53" i="6"/>
  <c r="H53" i="6"/>
  <c r="G53" i="6"/>
  <c r="F53" i="6"/>
  <c r="E53" i="6"/>
  <c r="Q53" i="6" s="1"/>
  <c r="R52" i="6"/>
  <c r="Q52" i="6"/>
  <c r="D52" i="6"/>
  <c r="R51" i="6"/>
  <c r="P51" i="6"/>
  <c r="O51" i="6"/>
  <c r="N51" i="6"/>
  <c r="M51" i="6"/>
  <c r="L51" i="6"/>
  <c r="K51" i="6"/>
  <c r="J51" i="6"/>
  <c r="I51" i="6"/>
  <c r="H51" i="6"/>
  <c r="G51" i="6"/>
  <c r="F51" i="6"/>
  <c r="E51" i="6"/>
  <c r="Q51" i="6" s="1"/>
  <c r="R50" i="6"/>
  <c r="Q50" i="6"/>
  <c r="D50" i="6"/>
  <c r="R49" i="6"/>
  <c r="P49" i="6"/>
  <c r="O49" i="6"/>
  <c r="N49" i="6"/>
  <c r="M49" i="6"/>
  <c r="L49" i="6"/>
  <c r="K49" i="6"/>
  <c r="J49" i="6"/>
  <c r="I49" i="6"/>
  <c r="H49" i="6"/>
  <c r="G49" i="6"/>
  <c r="F49" i="6"/>
  <c r="E49" i="6"/>
  <c r="R48" i="6"/>
  <c r="Q48" i="6"/>
  <c r="D48" i="6"/>
  <c r="R47" i="6"/>
  <c r="P47" i="6"/>
  <c r="O47" i="6"/>
  <c r="N47" i="6"/>
  <c r="M47" i="6"/>
  <c r="L47" i="6"/>
  <c r="K47" i="6"/>
  <c r="J47" i="6"/>
  <c r="I47" i="6"/>
  <c r="H47" i="6"/>
  <c r="G47" i="6"/>
  <c r="F47" i="6"/>
  <c r="E47" i="6"/>
  <c r="R46" i="6"/>
  <c r="Q46" i="6"/>
  <c r="D46" i="6"/>
  <c r="R45" i="6"/>
  <c r="Q45" i="6"/>
  <c r="D45" i="6"/>
  <c r="R44" i="6"/>
  <c r="P44" i="6"/>
  <c r="O44" i="6"/>
  <c r="N44" i="6"/>
  <c r="M44" i="6"/>
  <c r="L44" i="6"/>
  <c r="K44" i="6"/>
  <c r="J44" i="6"/>
  <c r="I44" i="6"/>
  <c r="H44" i="6"/>
  <c r="G44" i="6"/>
  <c r="F44" i="6"/>
  <c r="E44" i="6"/>
  <c r="Q44" i="6" s="1"/>
  <c r="R43" i="6"/>
  <c r="Q43" i="6"/>
  <c r="R42" i="6"/>
  <c r="Q42" i="6"/>
  <c r="D42" i="6"/>
  <c r="R41" i="6"/>
  <c r="Q41" i="6"/>
  <c r="D41" i="6"/>
  <c r="R40" i="6"/>
  <c r="P40" i="6"/>
  <c r="O40" i="6"/>
  <c r="N40" i="6"/>
  <c r="M40" i="6"/>
  <c r="L40" i="6"/>
  <c r="K40" i="6"/>
  <c r="J40" i="6"/>
  <c r="I40" i="6"/>
  <c r="H40" i="6"/>
  <c r="G40" i="6"/>
  <c r="F40" i="6"/>
  <c r="E40" i="6"/>
  <c r="R39" i="6"/>
  <c r="Q39" i="6"/>
  <c r="D39" i="6"/>
  <c r="R38" i="6"/>
  <c r="Q38" i="6"/>
  <c r="D38" i="6"/>
  <c r="R37" i="6"/>
  <c r="Q37" i="6"/>
  <c r="D37" i="6"/>
  <c r="R36" i="6"/>
  <c r="Q36" i="6"/>
  <c r="R35" i="6"/>
  <c r="Q35" i="6"/>
  <c r="R34" i="6"/>
  <c r="Q34" i="6"/>
  <c r="R33" i="6"/>
  <c r="Q33" i="6"/>
  <c r="D33" i="6"/>
  <c r="R32" i="6"/>
  <c r="Q32" i="6"/>
  <c r="D32" i="6"/>
  <c r="R31" i="6"/>
  <c r="P31" i="6"/>
  <c r="O31" i="6"/>
  <c r="N31" i="6"/>
  <c r="M31" i="6"/>
  <c r="L31" i="6"/>
  <c r="K31" i="6"/>
  <c r="J31" i="6"/>
  <c r="I31" i="6"/>
  <c r="H31" i="6"/>
  <c r="G31" i="6"/>
  <c r="F31" i="6"/>
  <c r="E31" i="6"/>
  <c r="R30" i="6"/>
  <c r="Q30" i="6"/>
  <c r="D30" i="6"/>
  <c r="R29" i="6"/>
  <c r="R28" i="6"/>
  <c r="P28" i="6"/>
  <c r="O28" i="6"/>
  <c r="M28" i="6"/>
  <c r="L28" i="6"/>
  <c r="J28" i="6"/>
  <c r="I28" i="6"/>
  <c r="G28" i="6"/>
  <c r="F28" i="6"/>
  <c r="R27" i="6"/>
  <c r="Q27" i="6"/>
  <c r="R26" i="6"/>
  <c r="Q26" i="6"/>
  <c r="R25" i="6"/>
  <c r="Q25" i="6"/>
  <c r="R24" i="6"/>
  <c r="Q24" i="6"/>
  <c r="R23" i="6"/>
  <c r="Q23" i="6"/>
  <c r="R22" i="6"/>
  <c r="Q22" i="6"/>
  <c r="R21" i="6"/>
  <c r="Q21" i="6"/>
  <c r="R20" i="6"/>
  <c r="P20" i="6"/>
  <c r="O20" i="6"/>
  <c r="N20" i="6"/>
  <c r="M20" i="6"/>
  <c r="L20" i="6"/>
  <c r="K20" i="6"/>
  <c r="J20" i="6"/>
  <c r="I20" i="6"/>
  <c r="H20" i="6"/>
  <c r="G20" i="6"/>
  <c r="F20" i="6"/>
  <c r="E20" i="6"/>
  <c r="R19" i="6"/>
  <c r="E19" i="6"/>
  <c r="Q19" i="6" s="1"/>
  <c r="R18" i="6"/>
  <c r="E18" i="6"/>
  <c r="Q18" i="6" s="1"/>
  <c r="R17" i="6"/>
  <c r="H17" i="6"/>
  <c r="G17" i="6"/>
  <c r="F17" i="6"/>
  <c r="E17" i="6"/>
  <c r="Q17" i="6" s="1"/>
  <c r="R16" i="6"/>
  <c r="P16" i="6"/>
  <c r="O16" i="6"/>
  <c r="N16" i="6"/>
  <c r="M16" i="6"/>
  <c r="L16" i="6"/>
  <c r="K16" i="6"/>
  <c r="J16" i="6"/>
  <c r="I16" i="6"/>
  <c r="H16" i="6"/>
  <c r="G16" i="6"/>
  <c r="F16" i="6"/>
  <c r="E16" i="6"/>
  <c r="R15" i="6"/>
  <c r="G15" i="6"/>
  <c r="F15" i="6"/>
  <c r="E15" i="6"/>
  <c r="Q12" i="6"/>
  <c r="Q8" i="6"/>
  <c r="P7" i="6"/>
  <c r="O7" i="6"/>
  <c r="N7" i="6"/>
  <c r="M7" i="6"/>
  <c r="L7" i="6"/>
  <c r="K7" i="6"/>
  <c r="J7" i="6"/>
  <c r="I7" i="6"/>
  <c r="H7" i="6"/>
  <c r="G7" i="6"/>
  <c r="F7" i="6"/>
  <c r="E7" i="6"/>
  <c r="P6" i="6"/>
  <c r="O6" i="6"/>
  <c r="N6" i="6"/>
  <c r="M6" i="6"/>
  <c r="L6" i="6"/>
  <c r="K6" i="6"/>
  <c r="J6" i="6"/>
  <c r="I6" i="6"/>
  <c r="H6" i="6"/>
  <c r="G6" i="6"/>
  <c r="F6" i="6"/>
  <c r="E6" i="6"/>
  <c r="P5" i="6"/>
  <c r="O5" i="6"/>
  <c r="N5" i="6"/>
  <c r="M5" i="6"/>
  <c r="L5" i="6"/>
  <c r="K5" i="6"/>
  <c r="J5" i="6"/>
  <c r="I5" i="6"/>
  <c r="H5" i="6"/>
  <c r="G5" i="6"/>
  <c r="F5" i="6"/>
  <c r="E5" i="6"/>
  <c r="P4" i="6"/>
  <c r="O4" i="6"/>
  <c r="N4" i="6"/>
  <c r="M4" i="6"/>
  <c r="L4" i="6"/>
  <c r="K4" i="6"/>
  <c r="J4" i="6"/>
  <c r="I4" i="6"/>
  <c r="H4" i="6"/>
  <c r="G4" i="6"/>
  <c r="F4" i="6"/>
  <c r="E4" i="6"/>
  <c r="F19" i="4"/>
  <c r="F20" i="4"/>
  <c r="F21" i="4"/>
  <c r="F22" i="4"/>
  <c r="B21" i="4"/>
  <c r="B20" i="4"/>
  <c r="B19" i="4"/>
  <c r="B15" i="4"/>
  <c r="F15" i="4"/>
  <c r="F11" i="4"/>
  <c r="Q126" i="5" l="1"/>
  <c r="R126" i="5"/>
  <c r="Q131" i="5"/>
  <c r="R131" i="5"/>
  <c r="Q125" i="5"/>
  <c r="R125" i="5"/>
  <c r="Q127" i="5"/>
  <c r="R127" i="5"/>
  <c r="Q132" i="5"/>
  <c r="R132" i="5"/>
  <c r="Q137" i="5"/>
  <c r="R137" i="5"/>
  <c r="R56" i="6"/>
  <c r="Q20" i="6"/>
  <c r="Q31" i="6"/>
  <c r="Q49" i="6"/>
  <c r="F52" i="4" s="1"/>
  <c r="Q64" i="6"/>
  <c r="Q65" i="6"/>
  <c r="Q75" i="6"/>
  <c r="C142" i="5"/>
  <c r="F126" i="5"/>
  <c r="H126" i="5"/>
  <c r="J126" i="5"/>
  <c r="L126" i="5"/>
  <c r="N126" i="5"/>
  <c r="D126" i="5"/>
  <c r="G126" i="5"/>
  <c r="I126" i="5"/>
  <c r="K126" i="5"/>
  <c r="M126" i="5"/>
  <c r="O126" i="5"/>
  <c r="E126" i="5"/>
  <c r="F41" i="4"/>
  <c r="F131" i="5"/>
  <c r="H131" i="5"/>
  <c r="J131" i="5"/>
  <c r="L131" i="5"/>
  <c r="N131" i="5"/>
  <c r="D131" i="5"/>
  <c r="G131" i="5"/>
  <c r="I131" i="5"/>
  <c r="K131" i="5"/>
  <c r="M131" i="5"/>
  <c r="O131" i="5"/>
  <c r="E131" i="5"/>
  <c r="F45" i="4"/>
  <c r="F138" i="5"/>
  <c r="H138" i="5"/>
  <c r="J138" i="5"/>
  <c r="L138" i="5"/>
  <c r="N138" i="5"/>
  <c r="D138" i="5"/>
  <c r="G138" i="5"/>
  <c r="I138" i="5"/>
  <c r="K138" i="5"/>
  <c r="O138" i="5"/>
  <c r="M138" i="5"/>
  <c r="E138" i="5"/>
  <c r="F125" i="5"/>
  <c r="H125" i="5"/>
  <c r="J125" i="5"/>
  <c r="L125" i="5"/>
  <c r="N125" i="5"/>
  <c r="E125" i="5"/>
  <c r="D125" i="5"/>
  <c r="G125" i="5"/>
  <c r="I125" i="5"/>
  <c r="K125" i="5"/>
  <c r="M125" i="5"/>
  <c r="O125" i="5"/>
  <c r="F127" i="5"/>
  <c r="H127" i="5"/>
  <c r="J127" i="5"/>
  <c r="L127" i="5"/>
  <c r="N127" i="5"/>
  <c r="E127" i="5"/>
  <c r="G127" i="5"/>
  <c r="I127" i="5"/>
  <c r="K127" i="5"/>
  <c r="M127" i="5"/>
  <c r="O127" i="5"/>
  <c r="D127" i="5"/>
  <c r="F132" i="5"/>
  <c r="H132" i="5"/>
  <c r="J132" i="5"/>
  <c r="L132" i="5"/>
  <c r="N132" i="5"/>
  <c r="E132" i="5"/>
  <c r="G132" i="5"/>
  <c r="I132" i="5"/>
  <c r="K132" i="5"/>
  <c r="M132" i="5"/>
  <c r="O132" i="5"/>
  <c r="D132" i="5"/>
  <c r="F44" i="4"/>
  <c r="F137" i="5"/>
  <c r="H137" i="5"/>
  <c r="J137" i="5"/>
  <c r="L137" i="5"/>
  <c r="N137" i="5"/>
  <c r="E137" i="5"/>
  <c r="G137" i="5"/>
  <c r="I137" i="5"/>
  <c r="K137" i="5"/>
  <c r="M137" i="5"/>
  <c r="O137" i="5"/>
  <c r="D137" i="5"/>
  <c r="F46" i="4"/>
  <c r="Q4" i="6"/>
  <c r="E10" i="6"/>
  <c r="E29" i="6" s="1"/>
  <c r="E56" i="6" s="1"/>
  <c r="G10" i="6"/>
  <c r="I10" i="6"/>
  <c r="I29" i="6" s="1"/>
  <c r="K10" i="6"/>
  <c r="K29" i="6" s="1"/>
  <c r="M10" i="6"/>
  <c r="M29" i="6" s="1"/>
  <c r="O10" i="6"/>
  <c r="O29" i="6" s="1"/>
  <c r="O56" i="6" s="1"/>
  <c r="O62" i="6" s="1"/>
  <c r="O67" i="6" s="1"/>
  <c r="O76" i="6" s="1"/>
  <c r="Q7" i="6"/>
  <c r="Q73" i="6"/>
  <c r="D165" i="5"/>
  <c r="N165" i="5"/>
  <c r="L165" i="5"/>
  <c r="J165" i="5"/>
  <c r="H165" i="5"/>
  <c r="F165" i="5"/>
  <c r="O165" i="5"/>
  <c r="M165" i="5"/>
  <c r="K165" i="5"/>
  <c r="I165" i="5"/>
  <c r="G165" i="5"/>
  <c r="G180" i="5" s="1"/>
  <c r="E165" i="5"/>
  <c r="P206" i="5"/>
  <c r="Q206" i="5" s="1"/>
  <c r="P185" i="5"/>
  <c r="Q185" i="5" s="1"/>
  <c r="R185" i="5" s="1"/>
  <c r="O63" i="5"/>
  <c r="M63" i="5"/>
  <c r="K63" i="5"/>
  <c r="I63" i="5"/>
  <c r="G63" i="5"/>
  <c r="E63" i="5"/>
  <c r="N63" i="5"/>
  <c r="L63" i="5"/>
  <c r="J63" i="5"/>
  <c r="H63" i="5"/>
  <c r="F63" i="5"/>
  <c r="D63" i="5"/>
  <c r="P64" i="5"/>
  <c r="Q64" i="5" s="1"/>
  <c r="R64" i="5" s="1"/>
  <c r="Q34" i="10"/>
  <c r="D18" i="8"/>
  <c r="D16" i="8"/>
  <c r="D19" i="8"/>
  <c r="D17" i="8"/>
  <c r="B85" i="8"/>
  <c r="B87" i="8" s="1"/>
  <c r="D54" i="8"/>
  <c r="U10" i="8" s="1"/>
  <c r="U14" i="8" s="1"/>
  <c r="D53" i="8"/>
  <c r="O10" i="8" s="1"/>
  <c r="B62" i="8"/>
  <c r="B63" i="8" s="1"/>
  <c r="B64" i="8" s="1"/>
  <c r="B65" i="8" s="1"/>
  <c r="B81" i="8"/>
  <c r="B82" i="8" s="1"/>
  <c r="B83" i="8" s="1"/>
  <c r="B84" i="8" s="1"/>
  <c r="H4" i="7"/>
  <c r="H8" i="7"/>
  <c r="H56" i="7"/>
  <c r="H54" i="7"/>
  <c r="H52" i="7"/>
  <c r="H50" i="7"/>
  <c r="H48" i="7"/>
  <c r="H46" i="7"/>
  <c r="H44" i="7"/>
  <c r="H42" i="7"/>
  <c r="H40" i="7"/>
  <c r="H38" i="7"/>
  <c r="H36" i="7"/>
  <c r="H34" i="7"/>
  <c r="H57" i="7"/>
  <c r="H53" i="7"/>
  <c r="H49" i="7"/>
  <c r="H45" i="7"/>
  <c r="H41" i="7"/>
  <c r="H37" i="7"/>
  <c r="H33" i="7"/>
  <c r="H28" i="7"/>
  <c r="H26" i="7"/>
  <c r="H24" i="7"/>
  <c r="H22" i="7"/>
  <c r="H21" i="7"/>
  <c r="H20" i="7"/>
  <c r="H18" i="7"/>
  <c r="H15" i="7"/>
  <c r="H13" i="7"/>
  <c r="H11" i="7"/>
  <c r="H10" i="7"/>
  <c r="H9" i="7"/>
  <c r="H7" i="7"/>
  <c r="H5" i="7"/>
  <c r="H3" i="7"/>
  <c r="I3" i="7" s="1"/>
  <c r="K3" i="7" s="1"/>
  <c r="H55" i="7"/>
  <c r="H51" i="7"/>
  <c r="H47" i="7"/>
  <c r="H19" i="7"/>
  <c r="H25" i="7"/>
  <c r="H29" i="7"/>
  <c r="H30" i="7"/>
  <c r="H31" i="7"/>
  <c r="H32" i="7"/>
  <c r="H35" i="7"/>
  <c r="H43" i="7"/>
  <c r="M3" i="7"/>
  <c r="G4" i="7" s="1"/>
  <c r="H6" i="7"/>
  <c r="H12" i="7"/>
  <c r="H16" i="7"/>
  <c r="H17" i="7"/>
  <c r="H23" i="7"/>
  <c r="H27" i="7"/>
  <c r="H39" i="7"/>
  <c r="F70" i="4"/>
  <c r="P178" i="5"/>
  <c r="P180" i="5" s="1"/>
  <c r="F59" i="4"/>
  <c r="G29" i="6"/>
  <c r="G56" i="6" s="1"/>
  <c r="G62" i="6" s="1"/>
  <c r="G67" i="6" s="1"/>
  <c r="G76" i="6" s="1"/>
  <c r="G81" i="6" s="1"/>
  <c r="H80" i="6" s="1"/>
  <c r="Q5" i="6"/>
  <c r="F10" i="6"/>
  <c r="H10" i="6"/>
  <c r="J10" i="6"/>
  <c r="L10" i="6"/>
  <c r="N10" i="6"/>
  <c r="P10" i="6"/>
  <c r="Q6" i="6"/>
  <c r="Q15" i="6"/>
  <c r="Q16" i="6"/>
  <c r="Q28" i="6"/>
  <c r="Q40" i="6"/>
  <c r="F42" i="4" s="1"/>
  <c r="Q47" i="6"/>
  <c r="Q60" i="6"/>
  <c r="Q69" i="6"/>
  <c r="K180" i="5" l="1"/>
  <c r="K223" i="5" s="1"/>
  <c r="O180" i="5"/>
  <c r="O223" i="5" s="1"/>
  <c r="H180" i="5"/>
  <c r="H223" i="5" s="1"/>
  <c r="L180" i="5"/>
  <c r="L223" i="5" s="1"/>
  <c r="D180" i="5"/>
  <c r="D223" i="5" s="1"/>
  <c r="E180" i="5"/>
  <c r="E223" i="5" s="1"/>
  <c r="I180" i="5"/>
  <c r="I223" i="5" s="1"/>
  <c r="M180" i="5"/>
  <c r="M223" i="5" s="1"/>
  <c r="F180" i="5"/>
  <c r="F223" i="5" s="1"/>
  <c r="J180" i="5"/>
  <c r="J223" i="5" s="1"/>
  <c r="N180" i="5"/>
  <c r="N223" i="5" s="1"/>
  <c r="Q180" i="5"/>
  <c r="R180" i="5" s="1"/>
  <c r="Q178" i="5"/>
  <c r="E62" i="6"/>
  <c r="E67" i="6" s="1"/>
  <c r="G223" i="5"/>
  <c r="M56" i="6"/>
  <c r="M62" i="6" s="1"/>
  <c r="M67" i="6" s="1"/>
  <c r="M76" i="6" s="1"/>
  <c r="M58" i="6"/>
  <c r="I56" i="6"/>
  <c r="I62" i="6" s="1"/>
  <c r="I67" i="6" s="1"/>
  <c r="I76" i="6" s="1"/>
  <c r="I58" i="6"/>
  <c r="O58" i="6"/>
  <c r="K58" i="6"/>
  <c r="G58" i="6"/>
  <c r="I145" i="5"/>
  <c r="M145" i="5"/>
  <c r="F145" i="5"/>
  <c r="N145" i="5"/>
  <c r="D145" i="5"/>
  <c r="E145" i="5"/>
  <c r="K56" i="6"/>
  <c r="K62" i="6" s="1"/>
  <c r="K67" i="6" s="1"/>
  <c r="K76" i="6" s="1"/>
  <c r="E58" i="6"/>
  <c r="G145" i="5"/>
  <c r="K145" i="5"/>
  <c r="O145" i="5"/>
  <c r="J145" i="5"/>
  <c r="H145" i="5"/>
  <c r="L145" i="5"/>
  <c r="F90" i="5"/>
  <c r="J90" i="5"/>
  <c r="N90" i="5"/>
  <c r="E90" i="5"/>
  <c r="I90" i="5"/>
  <c r="M90" i="5"/>
  <c r="D90" i="5"/>
  <c r="H90" i="5"/>
  <c r="L90" i="5"/>
  <c r="G90" i="5"/>
  <c r="K90" i="5"/>
  <c r="O90" i="5"/>
  <c r="F28" i="4"/>
  <c r="P39" i="5"/>
  <c r="R35" i="5"/>
  <c r="P63" i="5"/>
  <c r="D89" i="8"/>
  <c r="D92" i="8"/>
  <c r="D91" i="8"/>
  <c r="D90" i="8"/>
  <c r="O14" i="8"/>
  <c r="W10" i="8"/>
  <c r="B66" i="8"/>
  <c r="B68" i="8" s="1"/>
  <c r="I4" i="7"/>
  <c r="K4" i="7" s="1"/>
  <c r="M4" i="7"/>
  <c r="G5" i="7" s="1"/>
  <c r="J4" i="7"/>
  <c r="L4" i="7" s="1"/>
  <c r="P29" i="6"/>
  <c r="L29" i="6"/>
  <c r="H29" i="6"/>
  <c r="N29" i="6"/>
  <c r="J29" i="6"/>
  <c r="F29" i="6"/>
  <c r="Q10" i="6"/>
  <c r="P223" i="5" l="1"/>
  <c r="Q223" i="5" s="1"/>
  <c r="R223" i="5" s="1"/>
  <c r="F16" i="4"/>
  <c r="Q39" i="5"/>
  <c r="R39" i="5" s="1"/>
  <c r="F18" i="4"/>
  <c r="Q63" i="5"/>
  <c r="R63" i="5" s="1"/>
  <c r="F10" i="4"/>
  <c r="Q29" i="6"/>
  <c r="P90" i="5"/>
  <c r="F17" i="4"/>
  <c r="D70" i="8"/>
  <c r="P11" i="8" s="1"/>
  <c r="D73" i="8"/>
  <c r="V12" i="8" s="1"/>
  <c r="W12" i="8" s="1"/>
  <c r="D72" i="8"/>
  <c r="V11" i="8" s="1"/>
  <c r="V14" i="8" s="1"/>
  <c r="D71" i="8"/>
  <c r="T11" i="8" s="1"/>
  <c r="T14" i="8" s="1"/>
  <c r="J5" i="7"/>
  <c r="F56" i="6"/>
  <c r="F58" i="6"/>
  <c r="J58" i="6"/>
  <c r="J56" i="6"/>
  <c r="J62" i="6" s="1"/>
  <c r="J67" i="6" s="1"/>
  <c r="J76" i="6" s="1"/>
  <c r="N56" i="6"/>
  <c r="N62" i="6" s="1"/>
  <c r="N67" i="6" s="1"/>
  <c r="N76" i="6" s="1"/>
  <c r="N58" i="6"/>
  <c r="E76" i="6"/>
  <c r="H58" i="6"/>
  <c r="H56" i="6"/>
  <c r="H62" i="6" s="1"/>
  <c r="H67" i="6" s="1"/>
  <c r="H76" i="6" s="1"/>
  <c r="H81" i="6" s="1"/>
  <c r="I80" i="6" s="1"/>
  <c r="I81" i="6" s="1"/>
  <c r="J80" i="6" s="1"/>
  <c r="L58" i="6"/>
  <c r="L56" i="6"/>
  <c r="L62" i="6" s="1"/>
  <c r="L67" i="6" s="1"/>
  <c r="L76" i="6" s="1"/>
  <c r="P58" i="6"/>
  <c r="P56" i="6"/>
  <c r="P62" i="6" s="1"/>
  <c r="P67" i="6" s="1"/>
  <c r="P76" i="6" s="1"/>
  <c r="F23" i="4" l="1"/>
  <c r="Q90" i="5"/>
  <c r="R90" i="5" s="1"/>
  <c r="P14" i="8"/>
  <c r="W11" i="8"/>
  <c r="W14" i="8" s="1"/>
  <c r="L5" i="7"/>
  <c r="I5" i="7"/>
  <c r="J81" i="6"/>
  <c r="K80" i="6" s="1"/>
  <c r="K81" i="6" s="1"/>
  <c r="L80" i="6" s="1"/>
  <c r="L81" i="6" s="1"/>
  <c r="M80" i="6" s="1"/>
  <c r="M81" i="6" s="1"/>
  <c r="N80" i="6" s="1"/>
  <c r="N81" i="6" s="1"/>
  <c r="O80" i="6" s="1"/>
  <c r="O81" i="6" s="1"/>
  <c r="P80" i="6" s="1"/>
  <c r="P81" i="6" s="1"/>
  <c r="P85" i="6" s="1"/>
  <c r="Q58" i="6"/>
  <c r="F62" i="6"/>
  <c r="Q56" i="6"/>
  <c r="K5" i="7" l="1"/>
  <c r="M5" i="7"/>
  <c r="G6" i="7" s="1"/>
  <c r="F67" i="6"/>
  <c r="Q62" i="6"/>
  <c r="J6" i="7" l="1"/>
  <c r="F76" i="6"/>
  <c r="Q76" i="6" s="1"/>
  <c r="Q67" i="6"/>
  <c r="L6" i="7" l="1"/>
  <c r="I6" i="7"/>
  <c r="K6" i="7" l="1"/>
  <c r="M6" i="7"/>
  <c r="G7" i="7" s="1"/>
  <c r="J7" i="7" l="1"/>
  <c r="L7" i="7" l="1"/>
  <c r="I7" i="7"/>
  <c r="K7" i="7" l="1"/>
  <c r="M7" i="7"/>
  <c r="G8" i="7" s="1"/>
  <c r="J8" i="7" l="1"/>
  <c r="L8" i="7" l="1"/>
  <c r="I8" i="7"/>
  <c r="K8" i="7" l="1"/>
  <c r="M8" i="7"/>
  <c r="G9" i="7" s="1"/>
  <c r="J9" i="7" l="1"/>
  <c r="L9" i="7" l="1"/>
  <c r="I9" i="7"/>
  <c r="K9" i="7" l="1"/>
  <c r="M9" i="7"/>
  <c r="G10" i="7" s="1"/>
  <c r="J10" i="7" l="1"/>
  <c r="L10" i="7" l="1"/>
  <c r="I10" i="7"/>
  <c r="K10" i="7" l="1"/>
  <c r="M10" i="7"/>
  <c r="G11" i="7" s="1"/>
  <c r="J11" i="7" l="1"/>
  <c r="L11" i="7" l="1"/>
  <c r="I11" i="7"/>
  <c r="K11" i="7" l="1"/>
  <c r="M11" i="7"/>
  <c r="G12" i="7" s="1"/>
  <c r="J12" i="7" l="1"/>
  <c r="L12" i="7" l="1"/>
  <c r="I12" i="7"/>
  <c r="K12" i="7" l="1"/>
  <c r="M12" i="7"/>
  <c r="G13" i="7" s="1"/>
  <c r="J13" i="7" l="1"/>
  <c r="L13" i="7" l="1"/>
  <c r="I13" i="7"/>
  <c r="K13" i="7" l="1"/>
  <c r="M13" i="7"/>
  <c r="G14" i="7" s="1"/>
  <c r="J14" i="7" l="1"/>
  <c r="L14" i="7" l="1"/>
  <c r="I14" i="7"/>
  <c r="K14" i="7" l="1"/>
  <c r="M14" i="7"/>
  <c r="G15" i="7" s="1"/>
  <c r="J15" i="7" l="1"/>
  <c r="L15" i="7" l="1"/>
  <c r="I15" i="7"/>
  <c r="K15" i="7" l="1"/>
  <c r="M15" i="7"/>
  <c r="G16" i="7" s="1"/>
  <c r="J16" i="7" l="1"/>
  <c r="L16" i="7" l="1"/>
  <c r="I16" i="7"/>
  <c r="K16" i="7" l="1"/>
  <c r="M16" i="7"/>
  <c r="G17" i="7" s="1"/>
  <c r="J17" i="7" l="1"/>
  <c r="L17" i="7" l="1"/>
  <c r="I17" i="7"/>
  <c r="K17" i="7" l="1"/>
  <c r="M17" i="7"/>
  <c r="G18" i="7" s="1"/>
  <c r="J18" i="7" l="1"/>
  <c r="L18" i="7" l="1"/>
  <c r="I18" i="7"/>
  <c r="K18" i="7" l="1"/>
  <c r="M18" i="7"/>
  <c r="G19" i="7" s="1"/>
  <c r="J19" i="7" l="1"/>
  <c r="L19" i="7" l="1"/>
  <c r="I19" i="7"/>
  <c r="K19" i="7" l="1"/>
  <c r="M19" i="7"/>
  <c r="G20" i="7" s="1"/>
  <c r="J20" i="7" l="1"/>
  <c r="L20" i="7" l="1"/>
  <c r="I20" i="7"/>
  <c r="K20" i="7" l="1"/>
  <c r="M20" i="7"/>
  <c r="G21" i="7" s="1"/>
  <c r="J21" i="7" l="1"/>
  <c r="L21" i="7" l="1"/>
  <c r="I21" i="7"/>
  <c r="K21" i="7" l="1"/>
  <c r="M21" i="7"/>
  <c r="G22" i="7" s="1"/>
  <c r="J22" i="7" l="1"/>
  <c r="L22" i="7" l="1"/>
  <c r="I22" i="7"/>
  <c r="K22" i="7" l="1"/>
  <c r="M22" i="7"/>
  <c r="G23" i="7" s="1"/>
  <c r="J23" i="7" l="1"/>
  <c r="L23" i="7" l="1"/>
  <c r="I23" i="7"/>
  <c r="K23" i="7" l="1"/>
  <c r="M23" i="7"/>
  <c r="G24" i="7" s="1"/>
  <c r="J24" i="7" l="1"/>
  <c r="L24" i="7" l="1"/>
  <c r="I24" i="7"/>
  <c r="K24" i="7" l="1"/>
  <c r="M24" i="7"/>
  <c r="G25" i="7" s="1"/>
  <c r="J25" i="7" l="1"/>
  <c r="L25" i="7" l="1"/>
  <c r="I25" i="7"/>
  <c r="K25" i="7" l="1"/>
  <c r="M25" i="7"/>
  <c r="G26" i="7" s="1"/>
  <c r="J26" i="7" l="1"/>
  <c r="L26" i="7" l="1"/>
  <c r="I26" i="7"/>
  <c r="K26" i="7" l="1"/>
  <c r="M26" i="7"/>
  <c r="G27" i="7" s="1"/>
  <c r="J27" i="7" l="1"/>
  <c r="L27" i="7" l="1"/>
  <c r="I27" i="7"/>
  <c r="K27" i="7" l="1"/>
  <c r="M27" i="7"/>
  <c r="G28" i="7" s="1"/>
  <c r="J28" i="7" l="1"/>
  <c r="L28" i="7" l="1"/>
  <c r="I28" i="7"/>
  <c r="K28" i="7" l="1"/>
  <c r="M28" i="7"/>
  <c r="G29" i="7" s="1"/>
  <c r="J29" i="7" l="1"/>
  <c r="L29" i="7" l="1"/>
  <c r="I29" i="7"/>
  <c r="K29" i="7" l="1"/>
  <c r="M29" i="7"/>
  <c r="G30" i="7" s="1"/>
  <c r="J30" i="7" l="1"/>
  <c r="L30" i="7" l="1"/>
  <c r="I30" i="7"/>
  <c r="K30" i="7" l="1"/>
  <c r="M30" i="7"/>
  <c r="G31" i="7" s="1"/>
  <c r="J31" i="7" l="1"/>
  <c r="L31" i="7" l="1"/>
  <c r="I31" i="7"/>
  <c r="K31" i="7" l="1"/>
  <c r="M31" i="7"/>
  <c r="G32" i="7" s="1"/>
  <c r="J32" i="7" l="1"/>
  <c r="L32" i="7" l="1"/>
  <c r="I32" i="7"/>
  <c r="K32" i="7" l="1"/>
  <c r="M32" i="7"/>
  <c r="G33" i="7" s="1"/>
  <c r="J33" i="7" l="1"/>
  <c r="L33" i="7" l="1"/>
  <c r="I33" i="7"/>
  <c r="K33" i="7" l="1"/>
  <c r="M33" i="7"/>
  <c r="G34" i="7" s="1"/>
  <c r="J34" i="7" l="1"/>
  <c r="L34" i="7" l="1"/>
  <c r="I34" i="7"/>
  <c r="K34" i="7" l="1"/>
  <c r="M34" i="7"/>
  <c r="G35" i="7" s="1"/>
  <c r="J35" i="7" l="1"/>
  <c r="L35" i="7" l="1"/>
  <c r="I35" i="7"/>
  <c r="K35" i="7" l="1"/>
  <c r="M35" i="7"/>
  <c r="G36" i="7" s="1"/>
  <c r="J36" i="7" l="1"/>
  <c r="L36" i="7" l="1"/>
  <c r="I36" i="7"/>
  <c r="K36" i="7" l="1"/>
  <c r="M36" i="7"/>
  <c r="G37" i="7" s="1"/>
  <c r="J37" i="7" l="1"/>
  <c r="L37" i="7" l="1"/>
  <c r="I37" i="7"/>
  <c r="K37" i="7" l="1"/>
  <c r="M37" i="7"/>
  <c r="G38" i="7" s="1"/>
  <c r="J38" i="7" l="1"/>
  <c r="L38" i="7" l="1"/>
  <c r="I38" i="7"/>
  <c r="K38" i="7" l="1"/>
  <c r="M38" i="7"/>
  <c r="G39" i="7" s="1"/>
  <c r="J39" i="7" l="1"/>
  <c r="L39" i="7" l="1"/>
  <c r="I39" i="7"/>
  <c r="K39" i="7" l="1"/>
  <c r="M39" i="7"/>
  <c r="G40" i="7" s="1"/>
  <c r="J40" i="7" l="1"/>
  <c r="L40" i="7" l="1"/>
  <c r="I40" i="7"/>
  <c r="K40" i="7" l="1"/>
  <c r="M40" i="7"/>
  <c r="G41" i="7" s="1"/>
  <c r="J41" i="7" l="1"/>
  <c r="L41" i="7" l="1"/>
  <c r="I41" i="7"/>
  <c r="K41" i="7" l="1"/>
  <c r="M41" i="7"/>
  <c r="G42" i="7" s="1"/>
  <c r="J42" i="7" l="1"/>
  <c r="L42" i="7" l="1"/>
  <c r="I42" i="7"/>
  <c r="K42" i="7" l="1"/>
  <c r="M42" i="7"/>
  <c r="G43" i="7" s="1"/>
  <c r="J43" i="7" l="1"/>
  <c r="L43" i="7" l="1"/>
  <c r="I43" i="7"/>
  <c r="K43" i="7" l="1"/>
  <c r="M43" i="7"/>
  <c r="G44" i="7" s="1"/>
  <c r="J44" i="7" l="1"/>
  <c r="L44" i="7" l="1"/>
  <c r="I44" i="7"/>
  <c r="K44" i="7" l="1"/>
  <c r="M44" i="7"/>
  <c r="G45" i="7" s="1"/>
  <c r="J45" i="7" l="1"/>
  <c r="L45" i="7" l="1"/>
  <c r="I45" i="7"/>
  <c r="K45" i="7" l="1"/>
  <c r="M45" i="7"/>
  <c r="G46" i="7" s="1"/>
  <c r="J46" i="7" l="1"/>
  <c r="L46" i="7" l="1"/>
  <c r="I46" i="7"/>
  <c r="K46" i="7" l="1"/>
  <c r="M46" i="7"/>
  <c r="G47" i="7" s="1"/>
  <c r="J47" i="7" l="1"/>
  <c r="L47" i="7" l="1"/>
  <c r="I47" i="7"/>
  <c r="K47" i="7" l="1"/>
  <c r="M47" i="7"/>
  <c r="G48" i="7" s="1"/>
  <c r="J48" i="7" l="1"/>
  <c r="L48" i="7" l="1"/>
  <c r="I48" i="7"/>
  <c r="K48" i="7" l="1"/>
  <c r="M48" i="7"/>
  <c r="G49" i="7" s="1"/>
  <c r="J49" i="7" l="1"/>
  <c r="L49" i="7" l="1"/>
  <c r="I49" i="7"/>
  <c r="K49" i="7" l="1"/>
  <c r="M49" i="7"/>
  <c r="G50" i="7" s="1"/>
  <c r="J50" i="7" l="1"/>
  <c r="L50" i="7" l="1"/>
  <c r="I50" i="7"/>
  <c r="K50" i="7" l="1"/>
  <c r="M50" i="7"/>
  <c r="G51" i="7" s="1"/>
  <c r="J51" i="7" l="1"/>
  <c r="L51" i="7" l="1"/>
  <c r="I51" i="7"/>
  <c r="K51" i="7" l="1"/>
  <c r="M51" i="7"/>
  <c r="G52" i="7" s="1"/>
  <c r="J52" i="7" l="1"/>
  <c r="L52" i="7" l="1"/>
  <c r="I52" i="7"/>
  <c r="K52" i="7" l="1"/>
  <c r="M52" i="7"/>
  <c r="G53" i="7" s="1"/>
  <c r="J53" i="7" l="1"/>
  <c r="L53" i="7" l="1"/>
  <c r="I53" i="7"/>
  <c r="K53" i="7" l="1"/>
  <c r="M53" i="7"/>
  <c r="G54" i="7" s="1"/>
  <c r="J54" i="7" l="1"/>
  <c r="L54" i="7" l="1"/>
  <c r="I54" i="7"/>
  <c r="K54" i="7" l="1"/>
  <c r="M54" i="7"/>
  <c r="G55" i="7" s="1"/>
  <c r="J55" i="7" l="1"/>
  <c r="L55" i="7" l="1"/>
  <c r="I55" i="7"/>
  <c r="K55" i="7" l="1"/>
  <c r="M55" i="7"/>
  <c r="G56" i="7" s="1"/>
  <c r="J56" i="7" l="1"/>
  <c r="L56" i="7" l="1"/>
  <c r="I56" i="7"/>
  <c r="K56" i="7" l="1"/>
  <c r="M56" i="7"/>
  <c r="G57" i="7" s="1"/>
  <c r="J57" i="7" l="1"/>
  <c r="L57" i="7" l="1"/>
  <c r="I57" i="7"/>
  <c r="K57" i="7" l="1"/>
  <c r="M57" i="7"/>
  <c r="H98" i="5" l="1"/>
  <c r="H100" i="5" s="1"/>
  <c r="H120" i="5" s="1"/>
  <c r="G98" i="5"/>
  <c r="G100" i="5" s="1"/>
  <c r="G120" i="5" s="1"/>
  <c r="N98" i="5"/>
  <c r="N100" i="5" s="1"/>
  <c r="N120" i="5" s="1"/>
  <c r="P98" i="5"/>
  <c r="M98" i="5"/>
  <c r="M100" i="5" s="1"/>
  <c r="M120" i="5" s="1"/>
  <c r="O98" i="5"/>
  <c r="O100" i="5" s="1"/>
  <c r="O120" i="5" s="1"/>
  <c r="E98" i="5"/>
  <c r="E100" i="5" s="1"/>
  <c r="E120" i="5" s="1"/>
  <c r="L98" i="5"/>
  <c r="L100" i="5" s="1"/>
  <c r="L120" i="5" s="1"/>
  <c r="K98" i="5"/>
  <c r="K100" i="5" s="1"/>
  <c r="K120" i="5" s="1"/>
  <c r="I98" i="5"/>
  <c r="I100" i="5" s="1"/>
  <c r="I120" i="5" s="1"/>
  <c r="J98" i="5"/>
  <c r="J100" i="5" s="1"/>
  <c r="J120" i="5" s="1"/>
  <c r="D98" i="5"/>
  <c r="D100" i="5" s="1"/>
  <c r="D120" i="5" s="1"/>
  <c r="F98" i="5"/>
  <c r="F100" i="5" s="1"/>
  <c r="F120" i="5" s="1"/>
  <c r="F29" i="4"/>
  <c r="N115" i="5"/>
  <c r="F30" i="4"/>
  <c r="E115" i="5"/>
  <c r="L115" i="5"/>
  <c r="J115" i="5"/>
  <c r="H115" i="5"/>
  <c r="K115" i="5"/>
  <c r="G115" i="5"/>
  <c r="O115" i="5"/>
  <c r="F115" i="5"/>
  <c r="I115" i="5"/>
  <c r="M115" i="5"/>
  <c r="H118" i="5"/>
  <c r="K118" i="5"/>
  <c r="J118" i="5"/>
  <c r="F32" i="4"/>
  <c r="G118" i="5"/>
  <c r="F118" i="5"/>
  <c r="N118" i="5"/>
  <c r="M118" i="5"/>
  <c r="I118" i="5"/>
  <c r="E118" i="5"/>
  <c r="O118" i="5"/>
  <c r="L118" i="5"/>
  <c r="F33" i="4"/>
  <c r="D118" i="5"/>
  <c r="N108" i="5"/>
  <c r="K108" i="5"/>
  <c r="I108" i="5"/>
  <c r="D115" i="5"/>
  <c r="L108" i="5"/>
  <c r="O108" i="5"/>
  <c r="H108" i="5"/>
  <c r="J108" i="5"/>
  <c r="M108" i="5"/>
  <c r="G108" i="5"/>
  <c r="E108" i="5"/>
  <c r="D108" i="5"/>
  <c r="F108" i="5"/>
  <c r="P120" i="5" l="1"/>
  <c r="Q120" i="5" s="1"/>
  <c r="R120" i="5" s="1"/>
  <c r="P100" i="5"/>
  <c r="Q100" i="5" s="1"/>
  <c r="R100" i="5" s="1"/>
  <c r="Q98" i="5"/>
  <c r="F31" i="4"/>
  <c r="Q117" i="5"/>
  <c r="R117" i="5" s="1"/>
  <c r="D121" i="5"/>
  <c r="G121" i="5"/>
  <c r="J121" i="5"/>
  <c r="O121" i="5"/>
  <c r="K121" i="5"/>
  <c r="H121" i="5"/>
  <c r="I121" i="5"/>
  <c r="N121" i="5"/>
  <c r="F121" i="5"/>
  <c r="M121" i="5"/>
  <c r="L121" i="5"/>
  <c r="E121" i="5"/>
  <c r="P121" i="5"/>
  <c r="Q121" i="5" s="1"/>
  <c r="R121" i="5" s="1"/>
  <c r="P129" i="5"/>
  <c r="Q129" i="5" s="1"/>
  <c r="R129" i="5" s="1"/>
  <c r="F40" i="4" l="1"/>
  <c r="D142" i="5"/>
  <c r="O142" i="5"/>
  <c r="L142" i="5"/>
  <c r="M142" i="5"/>
  <c r="E142" i="5"/>
  <c r="J142" i="5"/>
  <c r="G142" i="5"/>
  <c r="H142" i="5"/>
  <c r="I142" i="5"/>
  <c r="N142" i="5"/>
  <c r="K142" i="5"/>
  <c r="P140" i="5"/>
  <c r="F142" i="5"/>
  <c r="P142" i="5" l="1"/>
  <c r="Q142" i="5" s="1"/>
  <c r="R142" i="5" s="1"/>
  <c r="Q140" i="5"/>
  <c r="M148" i="5" l="1"/>
  <c r="M151" i="5" s="1"/>
  <c r="M158" i="5" s="1"/>
  <c r="M161" i="5" s="1"/>
  <c r="M225" i="5" s="1"/>
  <c r="M240" i="5" s="1"/>
  <c r="J148" i="5"/>
  <c r="J151" i="5" s="1"/>
  <c r="J158" i="5" s="1"/>
  <c r="J161" i="5" s="1"/>
  <c r="J225" i="5" s="1"/>
  <c r="J240" i="5" s="1"/>
  <c r="K148" i="5"/>
  <c r="K151" i="5" s="1"/>
  <c r="K158" i="5" s="1"/>
  <c r="K161" i="5" s="1"/>
  <c r="K225" i="5" s="1"/>
  <c r="K240" i="5" s="1"/>
  <c r="G148" i="5"/>
  <c r="G151" i="5" s="1"/>
  <c r="G158" i="5" s="1"/>
  <c r="G161" i="5" s="1"/>
  <c r="G225" i="5" s="1"/>
  <c r="G240" i="5" s="1"/>
  <c r="H148" i="5"/>
  <c r="H151" i="5" s="1"/>
  <c r="H158" i="5" s="1"/>
  <c r="H161" i="5" s="1"/>
  <c r="H225" i="5" s="1"/>
  <c r="H240" i="5" s="1"/>
  <c r="L148" i="5"/>
  <c r="L151" i="5" s="1"/>
  <c r="L158" i="5" s="1"/>
  <c r="L161" i="5" s="1"/>
  <c r="L225" i="5" s="1"/>
  <c r="L240" i="5" s="1"/>
  <c r="N148" i="5"/>
  <c r="N151" i="5" s="1"/>
  <c r="N158" i="5" s="1"/>
  <c r="N161" i="5" s="1"/>
  <c r="N225" i="5" s="1"/>
  <c r="N240" i="5" s="1"/>
  <c r="I148" i="5"/>
  <c r="I151" i="5" s="1"/>
  <c r="I158" i="5" s="1"/>
  <c r="I161" i="5" s="1"/>
  <c r="I225" i="5" s="1"/>
  <c r="I240" i="5" s="1"/>
  <c r="E148" i="5"/>
  <c r="E151" i="5" s="1"/>
  <c r="E158" i="5" s="1"/>
  <c r="E161" i="5" s="1"/>
  <c r="E225" i="5" s="1"/>
  <c r="E240" i="5" s="1"/>
  <c r="O148" i="5"/>
  <c r="O151" i="5" s="1"/>
  <c r="O158" i="5" s="1"/>
  <c r="O161" i="5" s="1"/>
  <c r="O225" i="5" s="1"/>
  <c r="O240" i="5" s="1"/>
  <c r="F148" i="5"/>
  <c r="F151" i="5" s="1"/>
  <c r="F158" i="5" s="1"/>
  <c r="F161" i="5" s="1"/>
  <c r="F225" i="5" s="1"/>
  <c r="F240" i="5" s="1"/>
  <c r="P151" i="5"/>
  <c r="P158" i="5" s="1"/>
  <c r="P161" i="5" s="1"/>
  <c r="P225" i="5" s="1"/>
  <c r="P240" i="5" s="1"/>
  <c r="C148" i="5"/>
  <c r="D148" i="5"/>
  <c r="D151" i="5" s="1"/>
  <c r="D158" i="5" s="1"/>
  <c r="D161" i="5" s="1"/>
  <c r="D225" i="5" s="1"/>
  <c r="D228" i="5" s="1"/>
  <c r="E227" i="5" s="1"/>
  <c r="Q148" i="5" l="1"/>
  <c r="R148" i="5"/>
  <c r="E228" i="5"/>
  <c r="F227" i="5" s="1"/>
  <c r="F228" i="5" s="1"/>
  <c r="G227" i="5" s="1"/>
  <c r="G228" i="5" s="1"/>
  <c r="H227" i="5" s="1"/>
  <c r="H228" i="5" s="1"/>
  <c r="I227" i="5" s="1"/>
  <c r="I228" i="5" s="1"/>
  <c r="J227" i="5" s="1"/>
  <c r="J228" i="5" s="1"/>
  <c r="K227" i="5" s="1"/>
  <c r="K228" i="5" s="1"/>
  <c r="L227" i="5" s="1"/>
  <c r="L228" i="5" s="1"/>
  <c r="M227" i="5" s="1"/>
  <c r="M228" i="5" s="1"/>
  <c r="N227" i="5" s="1"/>
  <c r="N228" i="5" s="1"/>
  <c r="O227" i="5" s="1"/>
  <c r="O228" i="5" s="1"/>
  <c r="C151" i="5"/>
  <c r="D240" i="5"/>
  <c r="Q151" i="5"/>
  <c r="F53" i="4"/>
  <c r="C158" i="5" l="1"/>
  <c r="R151" i="5"/>
  <c r="C161" i="5" l="1"/>
  <c r="Q158" i="5"/>
  <c r="R158" i="5" s="1"/>
  <c r="C225" i="5" l="1"/>
  <c r="Q161" i="5"/>
  <c r="R161" i="5" s="1"/>
  <c r="Q225" i="5" l="1"/>
  <c r="R225" i="5" s="1"/>
</calcChain>
</file>

<file path=xl/sharedStrings.xml><?xml version="1.0" encoding="utf-8"?>
<sst xmlns="http://schemas.openxmlformats.org/spreadsheetml/2006/main" count="1176" uniqueCount="581">
  <si>
    <t>Variance</t>
  </si>
  <si>
    <t>4000-0000</t>
  </si>
  <si>
    <t>    INCOME</t>
  </si>
  <si>
    <t>4100-0000</t>
  </si>
  <si>
    <t> RENT INCOME</t>
  </si>
  <si>
    <t>4500-0000</t>
  </si>
  <si>
    <t> RENTAL INCOME</t>
  </si>
  <si>
    <t>4705-0000</t>
  </si>
  <si>
    <t> TENANT IMPROVEMENT</t>
  </si>
  <si>
    <t>4990-0000</t>
  </si>
  <si>
    <t>  TOTAL RENT INCOME</t>
  </si>
  <si>
    <t>5100-0000</t>
  </si>
  <si>
    <t> EXPENSE REIMB.-TENANT</t>
  </si>
  <si>
    <t>5135-0000</t>
  </si>
  <si>
    <t> REIMB. - UTILITIES</t>
  </si>
  <si>
    <t>5200-0000</t>
  </si>
  <si>
    <t> CAM ESTIMATE</t>
  </si>
  <si>
    <t>5210-0000</t>
  </si>
  <si>
    <t> INSURANCE ESTIMATE</t>
  </si>
  <si>
    <t>5220-0000</t>
  </si>
  <si>
    <t> TAXES ESTIMATE</t>
  </si>
  <si>
    <t>5300-0000</t>
  </si>
  <si>
    <t> CAM RECOVERY</t>
  </si>
  <si>
    <t>5310-0000</t>
  </si>
  <si>
    <t> INSURANCE RECOVERY</t>
  </si>
  <si>
    <t>5320-0000</t>
  </si>
  <si>
    <t> TAX RECOVERY</t>
  </si>
  <si>
    <t>5455-0000</t>
  </si>
  <si>
    <t> LATE FEES</t>
  </si>
  <si>
    <t>5490-0000</t>
  </si>
  <si>
    <t>    TOTAL EXPENSE REIMB.-TENANT</t>
  </si>
  <si>
    <t>5600-0000</t>
  </si>
  <si>
    <t>    OTHER INCOME</t>
  </si>
  <si>
    <t>5630-0000</t>
  </si>
  <si>
    <t> INCOME - OTHERS</t>
  </si>
  <si>
    <t>5700-0000</t>
  </si>
  <si>
    <t> INTEREST INCOME- BANK DEPOSIT</t>
  </si>
  <si>
    <t>5890-0000</t>
  </si>
  <si>
    <t>  TOTAL OTHER INCOME</t>
  </si>
  <si>
    <t>5990-0000</t>
  </si>
  <si>
    <t> TOTAL INCOME</t>
  </si>
  <si>
    <t>6000-0000</t>
  </si>
  <si>
    <t>    EXPENSES</t>
  </si>
  <si>
    <t>6200-0000</t>
  </si>
  <si>
    <t> CAM - EXPENSES</t>
  </si>
  <si>
    <t>6215-0000</t>
  </si>
  <si>
    <t> CAM-CLEANING MAINTENANCE</t>
  </si>
  <si>
    <t>6220-0000</t>
  </si>
  <si>
    <t> CAM-PARKING LOT MAINTENANCE</t>
  </si>
  <si>
    <t>6240-0000</t>
  </si>
  <si>
    <t> CAM - SNOW REMOVAL</t>
  </si>
  <si>
    <t>6265-0000</t>
  </si>
  <si>
    <t> CAM-SPRINKLER &amp; ALARM</t>
  </si>
  <si>
    <t>6270-0000</t>
  </si>
  <si>
    <t> CAM - INSURANCE</t>
  </si>
  <si>
    <t>6275-0000</t>
  </si>
  <si>
    <t> CAM - ELECTRICITY</t>
  </si>
  <si>
    <t>6285-0000</t>
  </si>
  <si>
    <t> CAM - WATER &amp; SEWER</t>
  </si>
  <si>
    <t>6291-0000</t>
  </si>
  <si>
    <t>TOTAL CAM - EXPENSES</t>
  </si>
  <si>
    <t>6292-0000</t>
  </si>
  <si>
    <t>DIRECT EXPENSE</t>
  </si>
  <si>
    <t>6425-0000</t>
  </si>
  <si>
    <t> REPAIRS - EXTERIORS</t>
  </si>
  <si>
    <t>6445-0000</t>
  </si>
  <si>
    <t> RUBBISH REMOVAL, Recycling</t>
  </si>
  <si>
    <t>6465-0000</t>
  </si>
  <si>
    <t> LANDSCAPING &amp; Parking Lot</t>
  </si>
  <si>
    <t>6475-0000</t>
  </si>
  <si>
    <t> INSURANCE -others</t>
  </si>
  <si>
    <t>6500-0000</t>
  </si>
  <si>
    <t> TAXES - REAL ESTATE</t>
  </si>
  <si>
    <t>6505-0000</t>
  </si>
  <si>
    <t> TAXES - VAULT,OTHERS</t>
  </si>
  <si>
    <t>6520-0000</t>
  </si>
  <si>
    <t> LICENSES &amp; PERMITS</t>
  </si>
  <si>
    <t>6545-0000</t>
  </si>
  <si>
    <t> WATER &amp; SEWER</t>
  </si>
  <si>
    <t>6555-0000</t>
  </si>
  <si>
    <t> MESSENGER &amp; DELIVERY</t>
  </si>
  <si>
    <t>6560-0000</t>
  </si>
  <si>
    <t> AUTO &amp; LOCAL FARE</t>
  </si>
  <si>
    <t>6562-0000</t>
  </si>
  <si>
    <t> CAR INSURANCE</t>
  </si>
  <si>
    <t>6605-0000</t>
  </si>
  <si>
    <t> PROFESSIONAL FEES-CONSULTANT</t>
  </si>
  <si>
    <t>6610-0000</t>
  </si>
  <si>
    <t> PROFESSIONAL FEES- LEGAL</t>
  </si>
  <si>
    <t>6615-0000</t>
  </si>
  <si>
    <t> PROFESSIONAL FEES- ACCTG.</t>
  </si>
  <si>
    <t>6625-0000</t>
  </si>
  <si>
    <t> BROKER'S COMMISSION</t>
  </si>
  <si>
    <t>6990-0000</t>
  </si>
  <si>
    <t>  TOTAL DIRECT EXPENSES</t>
  </si>
  <si>
    <t>7000-0000</t>
  </si>
  <si>
    <t> OFFICE &amp; MGMT EXPENSES</t>
  </si>
  <si>
    <t>7200-0000</t>
  </si>
  <si>
    <t> OFFICE- CAR INSURANCE</t>
  </si>
  <si>
    <t>7215-0000</t>
  </si>
  <si>
    <t> OFFICE-COMPUTER EXPENSES</t>
  </si>
  <si>
    <t>7405-0000</t>
  </si>
  <si>
    <t> OFFICE-CHARITABLE DONATIONS</t>
  </si>
  <si>
    <t>7425-0000</t>
  </si>
  <si>
    <t> OFFICE-POSTAGE</t>
  </si>
  <si>
    <t>7990-0000</t>
  </si>
  <si>
    <t> TOTAL OFFICE &amp; MGMT EXPENSES</t>
  </si>
  <si>
    <t>8500-0000</t>
  </si>
  <si>
    <t> INTEREST EXPENSE</t>
  </si>
  <si>
    <t>8505-0000</t>
  </si>
  <si>
    <t> INTEREST EXPENSE-MTGE #1</t>
  </si>
  <si>
    <t>8590-0000</t>
  </si>
  <si>
    <t>  TOTAL INTEREST EXPENSE</t>
  </si>
  <si>
    <t>8990-0000</t>
  </si>
  <si>
    <t> TOTAL EXPENSES</t>
  </si>
  <si>
    <t>9090-0000</t>
  </si>
  <si>
    <t>  NET INCOME</t>
  </si>
  <si>
    <t>    ADJUSTMENTS</t>
  </si>
  <si>
    <t>1145-0000</t>
  </si>
  <si>
    <t> ESCROW - R.E. TAX</t>
  </si>
  <si>
    <t>1190-0000</t>
  </si>
  <si>
    <t>  TOTAL CASH</t>
  </si>
  <si>
    <t>1191-0000</t>
  </si>
  <si>
    <t>RECEIVABLES</t>
  </si>
  <si>
    <t>1301-0000</t>
  </si>
  <si>
    <t> TENANT RENT RECEIVABLE</t>
  </si>
  <si>
    <t>1375-0000</t>
  </si>
  <si>
    <t> PREPAID TAXES</t>
  </si>
  <si>
    <t>1391-0000</t>
  </si>
  <si>
    <t>TOTAL RECEIVABLES</t>
  </si>
  <si>
    <t>1600-0000</t>
  </si>
  <si>
    <t>   PROPERTY</t>
  </si>
  <si>
    <t>1720-0000</t>
  </si>
  <si>
    <t> BUILDING IMPROVEMENT</t>
  </si>
  <si>
    <t>1800-0000</t>
  </si>
  <si>
    <t> DEFERRED COMM EXPENSE</t>
  </si>
  <si>
    <t>1890-0000</t>
  </si>
  <si>
    <t>  TOTAL PROPERTY</t>
  </si>
  <si>
    <t>1990-0000</t>
  </si>
  <si>
    <t> TOTAL ASSETS</t>
  </si>
  <si>
    <t>2010-0000</t>
  </si>
  <si>
    <t> LIABILITIES</t>
  </si>
  <si>
    <t>2200-0000</t>
  </si>
  <si>
    <t> ACCOUNTS PAYABLE - TRADE</t>
  </si>
  <si>
    <t>2220-0000</t>
  </si>
  <si>
    <t> PREPAID RENT</t>
  </si>
  <si>
    <t>2999-0000</t>
  </si>
  <si>
    <t>TOTAL LIABILITIES</t>
  </si>
  <si>
    <t>3005-0000</t>
  </si>
  <si>
    <t> CAPITAL-OWNER</t>
  </si>
  <si>
    <t>3117-0000</t>
  </si>
  <si>
    <t>3119-0000</t>
  </si>
  <si>
    <t>3120-0000</t>
  </si>
  <si>
    <t>3399-0001</t>
  </si>
  <si>
    <t> TOTAL OWNER CAPITAL</t>
  </si>
  <si>
    <t>3399-0005</t>
  </si>
  <si>
    <t> OWNERS DRAWING</t>
  </si>
  <si>
    <t>3417-0000</t>
  </si>
  <si>
    <t>3800-0000</t>
  </si>
  <si>
    <t> TOTAL OWNER DRAWING</t>
  </si>
  <si>
    <t>    TOTAL ADJUSTMENTS</t>
  </si>
  <si>
    <t>    CASH FLOW</t>
  </si>
  <si>
    <t>JS RUTHERFORD LLC (rut)</t>
  </si>
  <si>
    <t>Difference</t>
  </si>
  <si>
    <t>Total Cash</t>
  </si>
  <si>
    <t>Total</t>
  </si>
  <si>
    <t>CAM - LANDSCAPING</t>
  </si>
  <si>
    <t>CAM - BUILDING SUPPLIES</t>
  </si>
  <si>
    <t>CAM - INSURANCE</t>
  </si>
  <si>
    <t>CAM - ELECTRICITY</t>
  </si>
  <si>
    <t>CAM - WATER &amp; SEWER</t>
  </si>
  <si>
    <t>MESSENGER &amp; DELIVERY</t>
  </si>
  <si>
    <t>PROFESSIONAL FEES - CONSULTANT</t>
  </si>
  <si>
    <t>ESCROW - OTHERS</t>
  </si>
  <si>
    <t>1155-0000</t>
  </si>
  <si>
    <t>CASH - OTHERS</t>
  </si>
  <si>
    <t>1136-0000</t>
  </si>
  <si>
    <t>CASH - CERTIFICATE OF DEPOSIT</t>
  </si>
  <si>
    <t>1130-0000</t>
  </si>
  <si>
    <t>CASH - MONEY MARKET</t>
  </si>
  <si>
    <t>1125-0000</t>
  </si>
  <si>
    <t>CASH - CHECKING #1</t>
  </si>
  <si>
    <t>1120-0000</t>
  </si>
  <si>
    <t>Ending Balance</t>
  </si>
  <si>
    <t>Beginning Balance</t>
  </si>
  <si>
    <t>Year to Date</t>
  </si>
  <si>
    <t>Period to Date</t>
  </si>
  <si>
    <t> TENANT SECURITY PAYABLE</t>
  </si>
  <si>
    <t>2250-0000</t>
  </si>
  <si>
    <t> ELECTRICITY</t>
  </si>
  <si>
    <t>6535-0000</t>
  </si>
  <si>
    <t> CAM - BUILDING SUPPLIES</t>
  </si>
  <si>
    <t>6255-0000</t>
  </si>
  <si>
    <t> CAM - LANDSCAPING</t>
  </si>
  <si>
    <t>6211-0000</t>
  </si>
  <si>
    <t>BUDGET TEMPLATE EXAMPLE</t>
  </si>
  <si>
    <t>ACTUAL JAN-MAR 2016</t>
  </si>
  <si>
    <t>2016 PROJECTED BUDGET</t>
  </si>
  <si>
    <t>2015 ACTUAL</t>
  </si>
  <si>
    <t>2015 BUDGET</t>
  </si>
  <si>
    <t>2016 OPERATING BUDGET - RUTHERFORD</t>
  </si>
  <si>
    <t>Base</t>
  </si>
  <si>
    <t>Total 2016</t>
  </si>
  <si>
    <t>Comments</t>
  </si>
  <si>
    <t>Total Base Rent</t>
  </si>
  <si>
    <t>RUT</t>
  </si>
  <si>
    <t>Total CAM Revenue</t>
  </si>
  <si>
    <t>Total RETAX Revenue</t>
  </si>
  <si>
    <t>Total Insurance Revenue</t>
  </si>
  <si>
    <t>Total Other Extra Revenue</t>
  </si>
  <si>
    <t>5230-0000</t>
  </si>
  <si>
    <t>Total Tenant Revenue</t>
  </si>
  <si>
    <t>Release of funds</t>
  </si>
  <si>
    <t>Category of Expense</t>
  </si>
  <si>
    <t>Property</t>
  </si>
  <si>
    <t>Account Code</t>
  </si>
  <si>
    <t>CAM - CLEANING</t>
  </si>
  <si>
    <t>CAM - PARKING LOT</t>
  </si>
  <si>
    <t>CAM - EXTERMINATION</t>
  </si>
  <si>
    <t>6225-0000</t>
  </si>
  <si>
    <t>CAM - ELEVATOR REPAIR</t>
  </si>
  <si>
    <t>6233-0000</t>
  </si>
  <si>
    <t>CAM - REPAIRS</t>
  </si>
  <si>
    <t>6235-0000</t>
  </si>
  <si>
    <t>CAM - SNOW</t>
  </si>
  <si>
    <t>CAM - RUBBISH</t>
  </si>
  <si>
    <t>6245-0000</t>
  </si>
  <si>
    <t>CAM - LICENCES &amp; PERMITS</t>
  </si>
  <si>
    <t>6250-0000</t>
  </si>
  <si>
    <t>CAM - ALARM &amp; SPRINKLER</t>
  </si>
  <si>
    <t>CAM - MANAGEMENT FEES</t>
  </si>
  <si>
    <t>6290-0000</t>
  </si>
  <si>
    <t>PLUMBING MAINTENANCE</t>
  </si>
  <si>
    <t>6400-0000</t>
  </si>
  <si>
    <t>REPAIRS - EXTERIORS</t>
  </si>
  <si>
    <t>REPAIRS HVAC, BOILER &amp; EQUIPMENT</t>
  </si>
  <si>
    <t>6430-0000</t>
  </si>
  <si>
    <t>SECURITY SERVICES - OUTSIDE</t>
  </si>
  <si>
    <t>6450-0000</t>
  </si>
  <si>
    <t>TAXES - REAL ESTATE</t>
  </si>
  <si>
    <t>TAXES - OTHER</t>
  </si>
  <si>
    <t>LICENCES &amp; PERMITS</t>
  </si>
  <si>
    <t>FINES &amp; VIOLATIONS</t>
  </si>
  <si>
    <t>6525-0000</t>
  </si>
  <si>
    <t>ADTERTISING EXPENSES</t>
  </si>
  <si>
    <t>6530-0000</t>
  </si>
  <si>
    <t>TELEPHONE</t>
  </si>
  <si>
    <t>6550-0000</t>
  </si>
  <si>
    <t>BANK CHARGES</t>
  </si>
  <si>
    <t>6565-0000</t>
  </si>
  <si>
    <t>PROFESSIONAL &amp; LEGAL FEES</t>
  </si>
  <si>
    <t>PROFESSIONAL ACCOUNTING FEES</t>
  </si>
  <si>
    <t>BROKERS COMMISSION</t>
  </si>
  <si>
    <t>CHARITABLE</t>
  </si>
  <si>
    <t>6630-0000</t>
  </si>
  <si>
    <t>OFFICE AUTO &amp; LOCAL FARE</t>
  </si>
  <si>
    <t>7120-0000</t>
  </si>
  <si>
    <t>OFFICE CAR INSURANCE</t>
  </si>
  <si>
    <t>OFFICE COMPUTER EXPENSE</t>
  </si>
  <si>
    <t>OFFICE HOLIDAY EXPENSE</t>
  </si>
  <si>
    <t>7315-0000</t>
  </si>
  <si>
    <t>OFFICE CHARITABLE</t>
  </si>
  <si>
    <t>OFFICE SUPPLIES</t>
  </si>
  <si>
    <t>7420-0000</t>
  </si>
  <si>
    <t>OFFICE POSTAGE</t>
  </si>
  <si>
    <t>MISCELLANEOUS</t>
  </si>
  <si>
    <t>Total Operating Expenses</t>
  </si>
  <si>
    <t>CAM Only</t>
  </si>
  <si>
    <t>Reserves/Contingency</t>
  </si>
  <si>
    <t>Net Operating Income</t>
  </si>
  <si>
    <t>Principal Payments</t>
  </si>
  <si>
    <t>2105-0000</t>
  </si>
  <si>
    <t>Interest Payments</t>
  </si>
  <si>
    <t>Net Cash After Principal &amp; Interest</t>
  </si>
  <si>
    <t>Broker's Commission</t>
  </si>
  <si>
    <t>Building Improvements</t>
  </si>
  <si>
    <t>Tenant Improvements</t>
  </si>
  <si>
    <t>1740-0000</t>
  </si>
  <si>
    <t>Capital Distributions</t>
  </si>
  <si>
    <t>Net Cash After Capital Distributions</t>
  </si>
  <si>
    <t>Real Estate Tax Escrow</t>
  </si>
  <si>
    <t>Cash Balance Beginning of Month</t>
  </si>
  <si>
    <t>Cash Balance End of Month</t>
  </si>
  <si>
    <t>hard coded - actual from Yardi</t>
  </si>
  <si>
    <t>To reserve in account</t>
  </si>
  <si>
    <t>Allowable Distribution</t>
  </si>
  <si>
    <t>2016 PROJECTED TOTAL BUDGET</t>
  </si>
  <si>
    <t>Period</t>
  </si>
  <si>
    <t>Payment</t>
  </si>
  <si>
    <t>Principal</t>
  </si>
  <si>
    <t>Interest</t>
  </si>
  <si>
    <t>Cumulative Principal</t>
  </si>
  <si>
    <t>Cumulative Interest</t>
  </si>
  <si>
    <t>Projected Inflation 2016</t>
  </si>
  <si>
    <t xml:space="preserve">Property value increase, </t>
  </si>
  <si>
    <t>Sunrise Tae Kwon Do</t>
  </si>
  <si>
    <t>Size</t>
  </si>
  <si>
    <t>Price PSF</t>
  </si>
  <si>
    <t>NA</t>
  </si>
  <si>
    <t>Loan Amount</t>
  </si>
  <si>
    <t>Interest Rate</t>
  </si>
  <si>
    <t>Total Cost</t>
  </si>
  <si>
    <t>Annual Payments</t>
  </si>
  <si>
    <t>Payments</t>
  </si>
  <si>
    <t>April 2016 Charge</t>
  </si>
  <si>
    <t>May 2016 Charge</t>
  </si>
  <si>
    <t>Quest Diagnostics</t>
  </si>
  <si>
    <t>Months</t>
  </si>
  <si>
    <t>May 2016 charge</t>
  </si>
  <si>
    <t>Vacancy 3</t>
  </si>
  <si>
    <t>June 2016 Charge</t>
  </si>
  <si>
    <t>Dunkin Donuts</t>
  </si>
  <si>
    <t>Owed (April)</t>
  </si>
  <si>
    <t>LQ Laundry of Rutherford, LLC Rent Schedule and Broker Payments</t>
  </si>
  <si>
    <t>BROKER CHARGES BY MONTH 2016 PROJECTED</t>
  </si>
  <si>
    <t>7/4/15-7/3/16</t>
  </si>
  <si>
    <t>7/4/16-7/3/17</t>
  </si>
  <si>
    <t>7/4/17-7/3/18</t>
  </si>
  <si>
    <t>TOTAL</t>
  </si>
  <si>
    <t>7/4/18-7/3/19</t>
  </si>
  <si>
    <t>7/4/19-7/3/20</t>
  </si>
  <si>
    <t>SONIC SUDS</t>
  </si>
  <si>
    <t>7/4/20-7/3/21</t>
  </si>
  <si>
    <t>CENTURY 21</t>
  </si>
  <si>
    <t>7/4/21-7/3/22</t>
  </si>
  <si>
    <t>DUNKIN DONUTS</t>
  </si>
  <si>
    <t>7/4/22 - 7/3/23</t>
  </si>
  <si>
    <t>SUNRISE TKD</t>
  </si>
  <si>
    <t>7/4/23-7/3/24</t>
  </si>
  <si>
    <t>SPACE 2 (QUEST)</t>
  </si>
  <si>
    <t>7/4/24 - 7/3/25</t>
  </si>
  <si>
    <t>SPACE 3</t>
  </si>
  <si>
    <t>Total 10-year rent</t>
  </si>
  <si>
    <t>Total Payments</t>
  </si>
  <si>
    <t>5% Broker Fee</t>
  </si>
  <si>
    <t>25% within 30-days of opening</t>
  </si>
  <si>
    <t>25% after 90-days after 1st installment</t>
  </si>
  <si>
    <t>25% after 180 days of 1st installment</t>
  </si>
  <si>
    <t>25% after 270 days of 1st installment</t>
  </si>
  <si>
    <t>Goldstein Group (Dunkin Donut Commission Agreement)</t>
  </si>
  <si>
    <t>1-5 Years ($47,300.00 * 5 years)</t>
  </si>
  <si>
    <t>6/10 Years ($53,212.50 * 5 years)</t>
  </si>
  <si>
    <t>25% 30 days after tenant opened for business</t>
  </si>
  <si>
    <t>1+2 of 4 pmts</t>
  </si>
  <si>
    <t>3 of 4 pmts</t>
  </si>
  <si>
    <t>4 of 4 pmts</t>
  </si>
  <si>
    <t>PROJECTED BROKER PAYMENT TIMELINE FOR DUNKIN DONUTS (PER GOLDSTEIN GROUP INVOICE - ADJUSTED FOR OPENING)</t>
  </si>
  <si>
    <t>Due Upon 30 days Commence Rent and Open Store (25%)</t>
  </si>
  <si>
    <t>Due Upon 90 days following Initial Payment (25%)</t>
  </si>
  <si>
    <t>Due Upon 180 days following Initial Payment (25%)</t>
  </si>
  <si>
    <t>Due Upon 270 Days following Initial Payment (25%)</t>
  </si>
  <si>
    <t>SUNRISE TAE KWON DO WITH RKF</t>
  </si>
  <si>
    <r>
      <t xml:space="preserve">   based on $27,945 annual rent over 5 years initital term = $139,725 X 5% = $6,986.25 X </t>
    </r>
    <r>
      <rPr>
        <b/>
        <u/>
        <sz val="11"/>
        <color theme="1"/>
        <rFont val="Calibri"/>
        <family val="2"/>
        <scheme val="minor"/>
      </rPr>
      <t>2 DEALS</t>
    </r>
    <r>
      <rPr>
        <b/>
        <sz val="11"/>
        <color theme="1"/>
        <rFont val="Calibri"/>
        <family val="2"/>
        <scheme val="minor"/>
      </rPr>
      <t xml:space="preserve"> =$30,000</t>
    </r>
  </si>
  <si>
    <t>Year 1 Rent</t>
  </si>
  <si>
    <t>Year 2 Rent</t>
  </si>
  <si>
    <t>Year 3 Rent</t>
  </si>
  <si>
    <t>Year 4 Rent</t>
  </si>
  <si>
    <t>Year 5 Rent</t>
  </si>
  <si>
    <t>5% Commission</t>
  </si>
  <si>
    <t>50% due at opening</t>
  </si>
  <si>
    <t>Projected</t>
  </si>
  <si>
    <t>50% due six months after opening</t>
  </si>
  <si>
    <t>SPACE 2 (QUEST DIAGNOSTICS) WITH RIPCO</t>
  </si>
  <si>
    <t>Square feet</t>
  </si>
  <si>
    <t>Rent PSF</t>
  </si>
  <si>
    <t>25% Due 45 days after opening, payment of rent and conditions met</t>
  </si>
  <si>
    <t>25% due 90 days following initial payment</t>
  </si>
  <si>
    <t>25% due 135 days after initial payment</t>
  </si>
  <si>
    <t>25% due 180 days after initial payment</t>
  </si>
  <si>
    <t>SPACE3 WITH RIPCO</t>
  </si>
  <si>
    <t xml:space="preserve">   based on $30,360 annual rent over 5 years initital term = $151,800 X 5% = $7,590</t>
  </si>
  <si>
    <t>BASE RENTAL CHARGES</t>
  </si>
  <si>
    <t>Tenant Name</t>
  </si>
  <si>
    <t>Sq Ft</t>
  </si>
  <si>
    <t>Total 2015</t>
  </si>
  <si>
    <t>RCD 9/15/16</t>
  </si>
  <si>
    <t>RCD 11/1/16</t>
  </si>
  <si>
    <t>RCD 5/17/16</t>
  </si>
  <si>
    <t>Total Rent Revenue</t>
  </si>
  <si>
    <t>CAM CHARGES</t>
  </si>
  <si>
    <t>REAL ESTATE TAX CHARGES</t>
  </si>
  <si>
    <t>INSURANCE CHARGES</t>
  </si>
  <si>
    <t> CAM - MANAGEMENT FEES</t>
  </si>
  <si>
    <t> CAM-REPAIRS</t>
  </si>
  <si>
    <t> OFFICE- AUTO &amp; LOCAL FARE</t>
  </si>
  <si>
    <t xml:space="preserve"> MORTGAGE PAYABLE #1</t>
  </si>
  <si>
    <t xml:space="preserve"> TENANT IMPROVEMENT</t>
  </si>
  <si>
    <t xml:space="preserve"> RESERVE/CONTINGENCY</t>
  </si>
  <si>
    <t xml:space="preserve"> RELEASE FUNDS</t>
  </si>
  <si>
    <t>CASH BALANCE - BEGINNING OF MONTH</t>
  </si>
  <si>
    <t>CASH BALANCE - END OF MONTH</t>
  </si>
  <si>
    <t>EAST WINDSOR</t>
  </si>
  <si>
    <t>2017 Projected Budget</t>
  </si>
  <si>
    <t>Bollywood Salon</t>
  </si>
  <si>
    <t>Gold's Gym</t>
  </si>
  <si>
    <t>Green Health Massage</t>
  </si>
  <si>
    <t>TLE Learning Center</t>
  </si>
  <si>
    <t>Via Roma</t>
  </si>
  <si>
    <t>Windsor Dry Cleaner</t>
  </si>
  <si>
    <t>BASE RENT EAST WINDSOR CROSSING LLC</t>
  </si>
  <si>
    <t>Column16</t>
  </si>
  <si>
    <t>Column17</t>
  </si>
  <si>
    <t>Column18</t>
  </si>
  <si>
    <t>Column19</t>
  </si>
  <si>
    <t>WIN</t>
  </si>
  <si>
    <t>Patidar Cash and Carry</t>
  </si>
  <si>
    <t>Bold Eagle/Edible Arrangements</t>
  </si>
  <si>
    <t>Learning Step Kumon</t>
  </si>
  <si>
    <t>Assumes rent reduction stays in effect now through 2015</t>
  </si>
  <si>
    <t>Hot Peppers SKP Indian Rest</t>
  </si>
  <si>
    <t>Sprint</t>
  </si>
  <si>
    <t>Based on $12 psf LOI</t>
  </si>
  <si>
    <t>Vacant 119</t>
  </si>
  <si>
    <t>Mahzu</t>
  </si>
  <si>
    <t>NYC Community Bankcorp</t>
  </si>
  <si>
    <t>Per original lease in year 8 rent should go up to 15,225 mo</t>
  </si>
  <si>
    <t>RDG Custom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</si>
  <si>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</si>
  <si>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</si>
  <si>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</si>
  <si>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</si>
  <si>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</si>
  <si>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</si>
  <si>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</si>
  <si>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</si>
  <si>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</si>
  <si>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</si>
  <si>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</si>
  <si>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</si>
  <si>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PSF</t>
  </si>
  <si>
    <t xml:space="preserve">2017 OPERATING BUDGET </t>
  </si>
  <si>
    <t>2017 OPERATING BUDGET</t>
  </si>
  <si>
    <t xml:space="preserve"> </t>
  </si>
  <si>
    <t>2017 PROJECTED TOTAL BUDGET</t>
  </si>
  <si>
    <t> CAM- EXTERMINATOR</t>
  </si>
  <si>
    <t>3427-0000</t>
  </si>
  <si>
    <t>3110-0000</t>
  </si>
  <si>
    <t xml:space="preserve"> CAPITAL - CHARLES S. HADDAD</t>
  </si>
  <si>
    <t>3113-0000</t>
  </si>
  <si>
    <t xml:space="preserve"> CAPITAL - RICHARD A. HADDAD</t>
  </si>
  <si>
    <t xml:space="preserve"> CAPITAL - ISAAC JEMAL</t>
  </si>
  <si>
    <t xml:space="preserve"> CAPITAL - JOSEPH I. JEMAL</t>
  </si>
  <si>
    <t xml:space="preserve"> CAPITAL - SAMUEL I. JEMAL</t>
  </si>
  <si>
    <t>3127-0000</t>
  </si>
  <si>
    <t xml:space="preserve"> CAPITAL - DAVID SHWEKY</t>
  </si>
  <si>
    <t>3149-0000</t>
  </si>
  <si>
    <t xml:space="preserve"> CAPITAL - ALISON SUTTON</t>
  </si>
  <si>
    <t>3150-0000</t>
  </si>
  <si>
    <t xml:space="preserve"> CAPITAL - TERRANOVA REALTY VENT</t>
  </si>
  <si>
    <t>3151-0000</t>
  </si>
  <si>
    <t xml:space="preserve"> CAPITAL - JOSEPH COHEN</t>
  </si>
  <si>
    <t>3152-0000</t>
  </si>
  <si>
    <t xml:space="preserve"> CAPITAL - EST REALTY, LLC</t>
  </si>
  <si>
    <t>3153-0000</t>
  </si>
  <si>
    <t xml:space="preserve"> CAPITAL - HMS EAST WINDSOR COR</t>
  </si>
  <si>
    <t>3154-0000</t>
  </si>
  <si>
    <t xml:space="preserve"> CAPITAL - RALPH TAWIL</t>
  </si>
  <si>
    <t>3155-0000</t>
  </si>
  <si>
    <t xml:space="preserve"> CAPITAL - UZI SHVOT</t>
  </si>
  <si>
    <t>3156-0000</t>
  </si>
  <si>
    <t xml:space="preserve"> CAPITAL - DAYCORP FINANCE CO, SA</t>
  </si>
  <si>
    <t>3158-0000</t>
  </si>
  <si>
    <t xml:space="preserve"> CAPITAL - ALFRED SUTTON</t>
  </si>
  <si>
    <t>3159-0000</t>
  </si>
  <si>
    <t xml:space="preserve"> CAPITAL - CLAUDE PARDO</t>
  </si>
  <si>
    <t>3160-0000</t>
  </si>
  <si>
    <t xml:space="preserve"> CAPITAL - GRS EAST WINDSOR,INC</t>
  </si>
  <si>
    <t>3173-0000</t>
  </si>
  <si>
    <t xml:space="preserve"> CAPITAL - LILA REAL ESTATE INC.</t>
  </si>
  <si>
    <t> CAM- ELEVATOR REPAIR</t>
  </si>
  <si>
    <t> TELEPHONE</t>
  </si>
  <si>
    <t>LED Retrofit Parking Lot</t>
  </si>
  <si>
    <t>Project</t>
  </si>
  <si>
    <t>Description</t>
  </si>
  <si>
    <t>Area</t>
  </si>
  <si>
    <t>Year</t>
  </si>
  <si>
    <t>Expected Cost</t>
  </si>
  <si>
    <t>Capital/CAM</t>
  </si>
  <si>
    <t>Potential Resource/Vendor</t>
  </si>
  <si>
    <t>Target Start Date</t>
  </si>
  <si>
    <t>Additional Sign on Route 33</t>
  </si>
  <si>
    <t>Under the municipal guidelines, we can obtain approval for an additional pylon sign along Route 33 without a variance</t>
  </si>
  <si>
    <t>Improvement</t>
  </si>
  <si>
    <t>CAP</t>
  </si>
  <si>
    <t>Any Sign Company</t>
  </si>
  <si>
    <t>LED Retrofit of Pole Lighting throughout property</t>
  </si>
  <si>
    <t>YESCO, Broadway Lighting</t>
  </si>
  <si>
    <t>Service Area Paving</t>
  </si>
  <si>
    <t>Paving of the delivery and service areas of the shopping center</t>
  </si>
  <si>
    <t>Parking Lot</t>
  </si>
  <si>
    <t>C&amp;L</t>
  </si>
  <si>
    <t> CAM - RUBBISH REMOVAL</t>
  </si>
  <si>
    <t>Total Allowance for Doubtful Accounts</t>
  </si>
  <si>
    <t>ALLOWANCE FOR DOUBTFUL ACCOUNTS</t>
  </si>
  <si>
    <t>Adjusted Cashflow</t>
  </si>
  <si>
    <t>Meet at 8%</t>
  </si>
  <si>
    <t>Grand Total</t>
  </si>
  <si>
    <t>Monthly</t>
  </si>
  <si>
    <t>Annual</t>
  </si>
  <si>
    <t>Investors</t>
  </si>
  <si>
    <t>Current Capital</t>
  </si>
  <si>
    <t>%-ownership</t>
  </si>
  <si>
    <t>GL</t>
  </si>
  <si>
    <t>NJ WITHHELD FROM CAPITAL DISTRIBUTION</t>
  </si>
  <si>
    <t>6216-0000</t>
  </si>
  <si>
    <t> CAM- LIGHTING</t>
  </si>
  <si>
    <t>reduced by 30% due to CRS SF increase</t>
  </si>
  <si>
    <t>Based on 2016 Actual less the NJ Withholding</t>
  </si>
  <si>
    <t>1st</t>
  </si>
  <si>
    <t>% Change</t>
  </si>
  <si>
    <t>CEDAR GROVE</t>
  </si>
  <si>
    <t>Power Kick USA of So</t>
  </si>
  <si>
    <t>Will Power Nutrition</t>
  </si>
  <si>
    <t>Jo-Sho, Inc.</t>
  </si>
  <si>
    <t>Yeungs/King Palace C</t>
  </si>
  <si>
    <t>Shulin Inc (Moe's So</t>
  </si>
  <si>
    <t>Piazza Orsillo, LLC</t>
  </si>
  <si>
    <t>Zee Best Bagles, Inc</t>
  </si>
  <si>
    <t>Beauty Plus Spa</t>
  </si>
  <si>
    <t>Pronto Deli</t>
  </si>
  <si>
    <t>Agile Educational Se</t>
  </si>
  <si>
    <t>Supercuts, Inc.</t>
  </si>
  <si>
    <t>LaRitz Wet Cleaners</t>
  </si>
  <si>
    <t>Party on Supplies, L</t>
  </si>
  <si>
    <t>Derma Laser Centers</t>
  </si>
  <si>
    <t>Wallpapering By Desi</t>
  </si>
  <si>
    <t>Allstate Insurance C</t>
  </si>
  <si>
    <t>Starbucks Coffee Co.</t>
  </si>
  <si>
    <t>Mi Amore Cafe &amp; Cate</t>
  </si>
  <si>
    <t>Cedar Grove Wine</t>
  </si>
  <si>
    <t>Unity Bank, Inc.,</t>
  </si>
  <si>
    <t>CEG</t>
  </si>
  <si>
    <t>Zoup</t>
  </si>
  <si>
    <t>ILoveKickboxing</t>
  </si>
  <si>
    <t>3402-0000</t>
  </si>
  <si>
    <t>DRAWING - ALNEIL PARTNERS</t>
  </si>
  <si>
    <t>3406-0000</t>
  </si>
  <si>
    <t>DRAWING - CELIA COHEN</t>
  </si>
  <si>
    <t>3408-0000</t>
  </si>
  <si>
    <t>DRAWING - DAVEMORE REALTY</t>
  </si>
  <si>
    <t>DRAWING - ISAAC S. JEMAL</t>
  </si>
  <si>
    <t>3423-0000</t>
  </si>
  <si>
    <t>DRAWING - SIMON MOSHEL</t>
  </si>
  <si>
    <t>DRAWING - DAVID SHWEKY</t>
  </si>
  <si>
    <t>3432-0000</t>
  </si>
  <si>
    <t>DRAWING - DR. JOSEPH SUTTON</t>
  </si>
  <si>
    <t>3439-0000</t>
  </si>
  <si>
    <t>DRAWING - ELLIOT ZEITOUNE</t>
  </si>
  <si>
    <t>3446-0000</t>
  </si>
  <si>
    <t>DRAWING - MARC SUTTON</t>
  </si>
  <si>
    <t>3447-0000</t>
  </si>
  <si>
    <t>DRAWING - JOEY SUTTON</t>
  </si>
  <si>
    <t>3477-0000</t>
  </si>
  <si>
    <t>DRAWING - THE SHABOT FAMILY TRUST</t>
  </si>
  <si>
    <t>This is what is being paid currently</t>
  </si>
  <si>
    <t xml:space="preserve"> Will Power - CAM</t>
  </si>
  <si>
    <t>Currently paying their monthly, but they have arrears</t>
  </si>
  <si>
    <t>Menchies Vanilla Boxing</t>
  </si>
  <si>
    <t>Property value increase, Princeton NJ</t>
  </si>
  <si>
    <t xml:space="preserve">  Size</t>
  </si>
  <si>
    <t xml:space="preserve">  Price PSF</t>
  </si>
  <si>
    <t>January 2016 Charge</t>
  </si>
  <si>
    <t>February 2016 charge</t>
  </si>
  <si>
    <t>March 2016 charge</t>
  </si>
  <si>
    <t>April 2016 charge</t>
  </si>
  <si>
    <t>Zoup! Vanilla Boxing</t>
  </si>
  <si>
    <t>Vacant 3 vanilla boxing</t>
  </si>
  <si>
    <t>Vacant 4 vanilla boxing</t>
  </si>
  <si>
    <t>Based on 2016 Actual</t>
  </si>
  <si>
    <t>5% bump on 2016 actual</t>
  </si>
  <si>
    <t>Based on 2016 Actual (no bump)</t>
  </si>
  <si>
    <t>6237-0000</t>
  </si>
  <si>
    <t> CAM - REPAIRS, HVAC, BOILER &amp; EQUIP</t>
  </si>
  <si>
    <t>Based on 2016 Actual (no bump) and less the extra cost in 2016</t>
  </si>
  <si>
    <t>6217-0000</t>
  </si>
  <si>
    <t> CAM- ROOF REPAIRS</t>
  </si>
  <si>
    <t>$20K CAM side repairs</t>
  </si>
  <si>
    <t>non-contract cleaning</t>
  </si>
  <si>
    <t>May alarm test PD/Dec sprinkler PD</t>
  </si>
  <si>
    <t>Vacant spaces</t>
  </si>
  <si>
    <t>$40K LED Retrofit Parking Lot - Potential Vendor: YESCO, BROADWAY LIGHTING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</si>
</sst>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[$-409]mmm\-yy;@"/>
    <numFmt numFmtId="166" formatCode="mm/dd/yy;@"/>
    <numFmt numFmtId="167" formatCode="0.000%"/>
    <numFmt numFmtId="168" formatCode="[$-409]mmmm\-yy;@"/>
    <numFmt numFmtId="169" formatCode="&quot;$&quot;#,##0"/>
    <numFmt numFmtId="170" formatCode="_(* #,##0_);_(* \(#,##0\);_(* &quot;-&quot;??_);_(@_)"/>
    <numFmt numFmtId="171" formatCode="0.000000000000000%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sz val="8"/>
      <color rgb="FF505050"/>
      <name val="Verdana"/>
      <family val="2"/>
    </font>
    <font>
      <b/>
      <sz val="12"/>
      <color theme="1"/>
      <name val="Verdana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</font>
    <font>
      <b/>
      <sz val="11"/>
      <color theme="4" tint="-0.249977111117893"/>
      <name val="Calibri"/>
      <family val="2"/>
    </font>
    <font>
      <b/>
      <sz val="12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505050"/>
      <name val="Verdana"/>
      <family val="2"/>
    </font>
    <font>
      <sz val="9"/>
      <name val="Arial"/>
      <family val="2"/>
    </font>
    <font>
      <b/>
      <sz val="12"/>
      <color rgb="FF505050"/>
      <name val="Verdana"/>
      <family val="2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3D3D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49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>
      <alignment vertical="top"/>
    </xf>
    <xf numFmtId="0" fontId="23" fillId="0" borderId="0"/>
    <xf numFmtId="4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6">
    <xf numFmtId="0" fontId="0" fillId="0" borderId="0" xfId="0"/>
    <xf numFmtId="0" fontId="19" fillId="0" borderId="0" xfId="0" applyFont="1" applyAlignment="1">
      <alignment horizontal="center"/>
    </xf>
    <xf numFmtId="4" fontId="20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4" fontId="19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" fontId="19" fillId="0" borderId="11" xfId="0" applyNumberFormat="1" applyFont="1" applyBorder="1" applyAlignment="1">
      <alignment horizontal="right"/>
    </xf>
    <xf numFmtId="0" fontId="19" fillId="0" borderId="0" xfId="0" applyFont="1" applyAlignment="1">
      <alignment horizontal="right"/>
    </xf>
    <xf numFmtId="0" fontId="20" fillId="33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0" borderId="0" xfId="44" applyFont="1"/>
    <xf numFmtId="0" fontId="24" fillId="0" borderId="0" xfId="44" applyFont="1" applyAlignment="1">
      <alignment horizontal="center"/>
    </xf>
    <xf numFmtId="164" fontId="24" fillId="0" borderId="12" xfId="45" applyNumberFormat="1" applyFont="1" applyBorder="1" applyAlignment="1">
      <alignment horizontal="center"/>
    </xf>
    <xf numFmtId="164" fontId="24" fillId="0" borderId="0" xfId="45" applyNumberFormat="1" applyFont="1"/>
    <xf numFmtId="164" fontId="24" fillId="0" borderId="13" xfId="45" applyNumberFormat="1" applyFont="1" applyBorder="1"/>
    <xf numFmtId="164" fontId="25" fillId="0" borderId="0" xfId="45" applyNumberFormat="1" applyFont="1"/>
    <xf numFmtId="0" fontId="24" fillId="0" borderId="0" xfId="44" applyFont="1"/>
    <xf numFmtId="165" fontId="26" fillId="0" borderId="0" xfId="44" applyNumberFormat="1" applyFont="1" applyAlignment="1">
      <alignment horizontal="center"/>
    </xf>
    <xf numFmtId="165" fontId="26" fillId="0" borderId="12" xfId="45" applyNumberFormat="1" applyFont="1" applyBorder="1" applyAlignment="1">
      <alignment horizontal="center"/>
    </xf>
    <xf numFmtId="165" fontId="26" fillId="0" borderId="0" xfId="45" applyNumberFormat="1" applyFont="1" applyAlignment="1">
      <alignment horizontal="center"/>
    </xf>
    <xf numFmtId="165" fontId="26" fillId="0" borderId="13" xfId="45" quotePrefix="1" applyNumberFormat="1" applyFont="1" applyBorder="1" applyAlignment="1">
      <alignment horizontal="center"/>
    </xf>
    <xf numFmtId="0" fontId="27" fillId="0" borderId="0" xfId="45" applyNumberFormat="1" applyFont="1" applyAlignment="1">
      <alignment horizontal="center"/>
    </xf>
    <xf numFmtId="0" fontId="1" fillId="34" borderId="0" xfId="44" applyFont="1" applyFill="1"/>
    <xf numFmtId="0" fontId="1" fillId="34" borderId="0" xfId="44" applyFont="1" applyFill="1" applyAlignment="1">
      <alignment horizontal="center"/>
    </xf>
    <xf numFmtId="164" fontId="1" fillId="34" borderId="12" xfId="45" applyNumberFormat="1" applyFont="1" applyFill="1" applyBorder="1" applyAlignment="1">
      <alignment horizontal="center"/>
    </xf>
    <xf numFmtId="164" fontId="24" fillId="34" borderId="0" xfId="45" applyNumberFormat="1" applyFont="1" applyFill="1"/>
    <xf numFmtId="164" fontId="24" fillId="34" borderId="13" xfId="45" applyNumberFormat="1" applyFont="1" applyFill="1" applyBorder="1"/>
    <xf numFmtId="164" fontId="25" fillId="34" borderId="0" xfId="45" applyNumberFormat="1" applyFont="1" applyFill="1"/>
    <xf numFmtId="0" fontId="24" fillId="34" borderId="0" xfId="44" applyFont="1" applyFill="1"/>
    <xf numFmtId="0" fontId="1" fillId="0" borderId="0" xfId="44" applyFont="1"/>
    <xf numFmtId="0" fontId="1" fillId="0" borderId="0" xfId="44" applyFont="1" applyAlignment="1">
      <alignment horizontal="center"/>
    </xf>
    <xf numFmtId="164" fontId="1" fillId="0" borderId="12" xfId="45" applyNumberFormat="1" applyFont="1" applyBorder="1" applyAlignment="1">
      <alignment horizontal="center"/>
    </xf>
    <xf numFmtId="0" fontId="26" fillId="35" borderId="0" xfId="44" applyFont="1" applyFill="1"/>
    <xf numFmtId="0" fontId="26" fillId="35" borderId="0" xfId="44" applyFont="1" applyFill="1" applyAlignment="1">
      <alignment horizontal="center"/>
    </xf>
    <xf numFmtId="164" fontId="26" fillId="35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/>
    <xf numFmtId="164" fontId="26" fillId="35" borderId="13" xfId="45" applyNumberFormat="1" applyFont="1" applyFill="1" applyBorder="1"/>
    <xf numFmtId="164" fontId="27" fillId="35" borderId="0" xfId="45" applyNumberFormat="1" applyFont="1" applyFill="1"/>
    <xf numFmtId="0" fontId="24" fillId="35" borderId="0" xfId="44" applyFont="1" applyFill="1" applyAlignment="1">
      <alignment horizontal="center"/>
    </xf>
    <xf numFmtId="164" fontId="24" fillId="35" borderId="12" xfId="45" applyNumberFormat="1" applyFont="1" applyFill="1" applyBorder="1" applyAlignment="1">
      <alignment horizontal="center"/>
    </xf>
    <xf numFmtId="164" fontId="24" fillId="35" borderId="0" xfId="45" applyNumberFormat="1" applyFont="1" applyFill="1"/>
    <xf numFmtId="164" fontId="24" fillId="35" borderId="13" xfId="45" applyNumberFormat="1" applyFont="1" applyFill="1" applyBorder="1"/>
    <xf numFmtId="164" fontId="25" fillId="35" borderId="0" xfId="45" applyNumberFormat="1" applyFont="1" applyFill="1"/>
    <xf numFmtId="0" fontId="24" fillId="35" borderId="0" xfId="44" applyFont="1" applyFill="1"/>
    <xf numFmtId="0" fontId="26" fillId="34" borderId="0" xfId="44" applyFont="1" applyFill="1" applyAlignment="1">
      <alignment horizontal="center"/>
    </xf>
    <xf numFmtId="164" fontId="26" fillId="34" borderId="12" xfId="45" applyNumberFormat="1" applyFont="1" applyFill="1" applyBorder="1" applyAlignment="1">
      <alignment horizontal="center"/>
    </xf>
    <xf numFmtId="0" fontId="24" fillId="34" borderId="0" xfId="44" applyFont="1" applyFill="1" applyAlignment="1">
      <alignment horizontal="center"/>
    </xf>
    <xf numFmtId="164" fontId="24" fillId="34" borderId="12" xfId="45" applyNumberFormat="1" applyFont="1" applyFill="1" applyBorder="1" applyAlignment="1">
      <alignment horizontal="center"/>
    </xf>
    <xf numFmtId="164" fontId="26" fillId="35" borderId="0" xfId="45" applyNumberFormat="1" applyFont="1" applyFill="1" applyAlignment="1">
      <alignment horizontal="center"/>
    </xf>
    <xf numFmtId="164" fontId="28" fillId="0" borderId="0" xfId="45" applyNumberFormat="1" applyFont="1"/>
    <xf numFmtId="164" fontId="24" fillId="0" borderId="0" xfId="45" applyNumberFormat="1" applyFont="1" applyAlignment="1">
      <alignment horizontal="right"/>
    </xf>
    <xf numFmtId="44" fontId="24" fillId="0" borderId="0" xfId="45" applyNumberFormat="1" applyFont="1"/>
    <xf numFmtId="0" fontId="1" fillId="0" borderId="0" xfId="44" applyFont="1" applyFill="1"/>
    <xf numFmtId="0" fontId="1" fillId="0" borderId="0" xfId="44" applyFont="1" applyFill="1" applyAlignment="1">
      <alignment horizontal="center" vertical="center" wrapText="1"/>
    </xf>
    <xf numFmtId="166" fontId="1" fillId="0" borderId="0" xfId="44" applyNumberFormat="1" applyFont="1" applyFill="1" applyAlignment="1">
      <alignment horizontal="center" vertical="center" wrapText="1"/>
    </xf>
    <xf numFmtId="44" fontId="1" fillId="0" borderId="0" xfId="45" applyFont="1" applyFill="1" applyAlignment="1">
      <alignment horizontal="center" vertical="center" wrapText="1"/>
    </xf>
    <xf numFmtId="10" fontId="1" fillId="35" borderId="0" xfId="46" applyNumberFormat="1" applyFont="1" applyFill="1"/>
    <xf numFmtId="0" fontId="1" fillId="0" borderId="0" xfId="44" applyFont="1" applyFill="1" applyAlignment="1">
      <alignment horizontal="center"/>
    </xf>
    <xf numFmtId="166" fontId="1" fillId="0" borderId="0" xfId="44" applyNumberFormat="1" applyFont="1" applyFill="1"/>
    <xf numFmtId="44" fontId="1" fillId="0" borderId="0" xfId="44" applyNumberFormat="1" applyFont="1" applyFill="1"/>
    <xf numFmtId="44" fontId="1" fillId="0" borderId="0" xfId="45" applyFont="1" applyFill="1"/>
    <xf numFmtId="44" fontId="1" fillId="35" borderId="0" xfId="45" applyFont="1" applyFill="1"/>
    <xf numFmtId="0" fontId="16" fillId="0" borderId="14" xfId="44" applyFont="1" applyFill="1" applyBorder="1"/>
    <xf numFmtId="0" fontId="1" fillId="0" borderId="15" xfId="44" applyFont="1" applyFill="1" applyBorder="1"/>
    <xf numFmtId="0" fontId="1" fillId="0" borderId="13" xfId="44" applyFont="1" applyFill="1" applyBorder="1"/>
    <xf numFmtId="3" fontId="1" fillId="0" borderId="12" xfId="44" applyNumberFormat="1" applyFont="1" applyFill="1" applyBorder="1"/>
    <xf numFmtId="0" fontId="1" fillId="0" borderId="12" xfId="44" applyFont="1" applyFill="1" applyBorder="1"/>
    <xf numFmtId="0" fontId="1" fillId="0" borderId="0" xfId="44" applyFont="1" applyBorder="1"/>
    <xf numFmtId="44" fontId="1" fillId="0" borderId="0" xfId="45" applyFont="1" applyBorder="1"/>
    <xf numFmtId="167" fontId="1" fillId="0" borderId="0" xfId="46" applyNumberFormat="1" applyFont="1" applyBorder="1"/>
    <xf numFmtId="44" fontId="1" fillId="0" borderId="12" xfId="45" applyFont="1" applyFill="1" applyBorder="1"/>
    <xf numFmtId="0" fontId="1" fillId="0" borderId="16" xfId="44" applyFont="1" applyFill="1" applyBorder="1"/>
    <xf numFmtId="44" fontId="1" fillId="0" borderId="17" xfId="45" applyFont="1" applyFill="1" applyBorder="1"/>
    <xf numFmtId="0" fontId="16" fillId="0" borderId="14" xfId="44" applyFont="1" applyFill="1" applyBorder="1" applyAlignment="1">
      <alignment horizontal="center" vertical="center" wrapText="1"/>
    </xf>
    <xf numFmtId="44" fontId="1" fillId="0" borderId="15" xfId="45" applyFont="1" applyFill="1" applyBorder="1" applyAlignment="1">
      <alignment horizontal="center" vertical="center" wrapText="1"/>
    </xf>
    <xf numFmtId="37" fontId="1" fillId="0" borderId="12" xfId="45" applyNumberFormat="1" applyFont="1" applyFill="1" applyBorder="1"/>
    <xf numFmtId="0" fontId="1" fillId="35" borderId="0" xfId="44" applyFont="1" applyFill="1"/>
    <xf numFmtId="8" fontId="1" fillId="35" borderId="0" xfId="44" applyNumberFormat="1" applyFont="1" applyFill="1"/>
    <xf numFmtId="0" fontId="1" fillId="0" borderId="0" xfId="44" applyFont="1" applyFill="1" applyBorder="1" applyAlignment="1">
      <alignment horizontal="center"/>
    </xf>
    <xf numFmtId="44" fontId="1" fillId="0" borderId="0" xfId="44" applyNumberFormat="1" applyFont="1" applyFill="1" applyBorder="1"/>
    <xf numFmtId="44" fontId="1" fillId="0" borderId="0" xfId="45" applyFont="1" applyFill="1" applyBorder="1"/>
    <xf numFmtId="44" fontId="1" fillId="0" borderId="12" xfId="44" applyNumberFormat="1" applyFont="1" applyFill="1" applyBorder="1"/>
    <xf numFmtId="44" fontId="1" fillId="0" borderId="17" xfId="44" applyNumberFormat="1" applyFont="1" applyFill="1" applyBorder="1"/>
    <xf numFmtId="0" fontId="1" fillId="0" borderId="0" xfId="44" applyFont="1" applyFill="1" applyBorder="1"/>
    <xf numFmtId="166" fontId="1" fillId="0" borderId="0" xfId="44" applyNumberFormat="1" applyFont="1" applyFill="1" applyBorder="1"/>
    <xf numFmtId="16" fontId="29" fillId="0" borderId="0" xfId="44" applyNumberFormat="1" applyFont="1" applyAlignment="1">
      <alignment vertical="center"/>
    </xf>
    <xf numFmtId="44" fontId="1" fillId="0" borderId="0" xfId="45" applyFont="1"/>
    <xf numFmtId="44" fontId="1" fillId="0" borderId="0" xfId="44" applyNumberFormat="1" applyFont="1"/>
    <xf numFmtId="168" fontId="29" fillId="0" borderId="0" xfId="44" applyNumberFormat="1" applyFont="1" applyAlignment="1">
      <alignment horizontal="center" vertical="center"/>
    </xf>
    <xf numFmtId="0" fontId="29" fillId="0" borderId="0" xfId="44" applyFont="1" applyAlignment="1">
      <alignment horizontal="center" vertical="center"/>
    </xf>
    <xf numFmtId="169" fontId="1" fillId="0" borderId="0" xfId="44" applyNumberFormat="1" applyFont="1"/>
    <xf numFmtId="44" fontId="30" fillId="0" borderId="0" xfId="44" applyNumberFormat="1" applyFont="1"/>
    <xf numFmtId="14" fontId="1" fillId="0" borderId="0" xfId="44" applyNumberFormat="1" applyFont="1" applyAlignment="1">
      <alignment horizontal="center"/>
    </xf>
    <xf numFmtId="9" fontId="1" fillId="0" borderId="0" xfId="44" applyNumberFormat="1" applyFont="1"/>
    <xf numFmtId="44" fontId="16" fillId="0" borderId="18" xfId="45" applyFont="1" applyBorder="1"/>
    <xf numFmtId="14" fontId="1" fillId="0" borderId="0" xfId="44" applyNumberFormat="1" applyFont="1"/>
    <xf numFmtId="44" fontId="16" fillId="0" borderId="0" xfId="44" applyNumberFormat="1" applyFont="1"/>
    <xf numFmtId="14" fontId="16" fillId="0" borderId="0" xfId="44" applyNumberFormat="1" applyFont="1"/>
    <xf numFmtId="44" fontId="30" fillId="0" borderId="0" xfId="45" applyFont="1"/>
    <xf numFmtId="16" fontId="1" fillId="0" borderId="0" xfId="44" applyNumberFormat="1" applyFont="1"/>
    <xf numFmtId="3" fontId="1" fillId="0" borderId="0" xfId="44" applyNumberFormat="1" applyFont="1" applyAlignment="1">
      <alignment horizontal="center"/>
    </xf>
    <xf numFmtId="164" fontId="1" fillId="0" borderId="0" xfId="45" applyNumberFormat="1" applyFont="1"/>
    <xf numFmtId="0" fontId="16" fillId="0" borderId="0" xfId="44" applyFont="1" applyAlignment="1">
      <alignment horizontal="center"/>
    </xf>
    <xf numFmtId="3" fontId="16" fillId="0" borderId="0" xfId="44" applyNumberFormat="1" applyFont="1" applyAlignment="1">
      <alignment horizontal="center"/>
    </xf>
    <xf numFmtId="165" fontId="16" fillId="0" borderId="0" xfId="45" applyNumberFormat="1" applyFont="1" applyAlignment="1">
      <alignment horizontal="center"/>
    </xf>
    <xf numFmtId="164" fontId="16" fillId="0" borderId="0" xfId="45" applyNumberFormat="1" applyFont="1" applyAlignment="1">
      <alignment horizontal="center"/>
    </xf>
    <xf numFmtId="3" fontId="1" fillId="34" borderId="0" xfId="44" applyNumberFormat="1" applyFont="1" applyFill="1" applyAlignment="1">
      <alignment horizontal="center"/>
    </xf>
    <xf numFmtId="44" fontId="1" fillId="34" borderId="0" xfId="45" applyFont="1" applyFill="1" applyAlignment="1">
      <alignment horizontal="center"/>
    </xf>
    <xf numFmtId="164" fontId="1" fillId="34" borderId="0" xfId="45" applyNumberFormat="1" applyFont="1" applyFill="1"/>
    <xf numFmtId="44" fontId="1" fillId="0" borderId="0" xfId="45" applyFont="1" applyAlignment="1">
      <alignment horizontal="center"/>
    </xf>
    <xf numFmtId="0" fontId="31" fillId="35" borderId="0" xfId="44" applyFont="1" applyFill="1"/>
    <xf numFmtId="0" fontId="31" fillId="35" borderId="0" xfId="44" applyFont="1" applyFill="1" applyAlignment="1">
      <alignment horizontal="center"/>
    </xf>
    <xf numFmtId="3" fontId="31" fillId="35" borderId="0" xfId="44" applyNumberFormat="1" applyFont="1" applyFill="1" applyAlignment="1">
      <alignment horizontal="center"/>
    </xf>
    <xf numFmtId="164" fontId="31" fillId="35" borderId="0" xfId="45" applyNumberFormat="1" applyFont="1" applyFill="1"/>
    <xf numFmtId="164" fontId="1" fillId="0" borderId="0" xfId="45" applyNumberFormat="1" applyFont="1" applyFill="1"/>
    <xf numFmtId="0" fontId="16" fillId="35" borderId="0" xfId="44" applyFont="1" applyFill="1"/>
    <xf numFmtId="0" fontId="16" fillId="35" borderId="0" xfId="44" applyFont="1" applyFill="1" applyAlignment="1">
      <alignment horizontal="center"/>
    </xf>
    <xf numFmtId="3" fontId="16" fillId="35" borderId="0" xfId="44" applyNumberFormat="1" applyFont="1" applyFill="1" applyAlignment="1">
      <alignment horizontal="center"/>
    </xf>
    <xf numFmtId="164" fontId="16" fillId="35" borderId="0" xfId="45" applyNumberFormat="1" applyFont="1" applyFill="1"/>
    <xf numFmtId="0" fontId="16" fillId="0" borderId="0" xfId="0" applyFont="1"/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44" fontId="1" fillId="0" borderId="0" xfId="47" applyFont="1" applyAlignment="1">
      <alignment horizontal="center"/>
    </xf>
    <xf numFmtId="0" fontId="0" fillId="0" borderId="0" xfId="44" applyFont="1"/>
    <xf numFmtId="0" fontId="21" fillId="0" borderId="0" xfId="0" applyFont="1" applyAlignment="1"/>
    <xf numFmtId="4" fontId="33" fillId="0" borderId="0" xfId="1" applyNumberFormat="1" applyFont="1" applyAlignment="1">
      <alignment horizontal="center"/>
    </xf>
    <xf numFmtId="40" fontId="19" fillId="0" borderId="0" xfId="0" applyNumberFormat="1" applyFont="1" applyAlignment="1">
      <alignment horizontal="right"/>
    </xf>
    <xf numFmtId="40" fontId="19" fillId="0" borderId="0" xfId="1" applyNumberFormat="1" applyFont="1" applyAlignment="1">
      <alignment horizontal="right"/>
    </xf>
    <xf numFmtId="40" fontId="20" fillId="0" borderId="11" xfId="0" applyNumberFormat="1" applyFont="1" applyBorder="1" applyAlignment="1">
      <alignment horizontal="right"/>
    </xf>
    <xf numFmtId="40" fontId="21" fillId="0" borderId="0" xfId="0" applyNumberFormat="1" applyFont="1" applyAlignment="1"/>
    <xf numFmtId="40" fontId="20" fillId="33" borderId="10" xfId="1" applyNumberFormat="1" applyFont="1" applyFill="1" applyBorder="1" applyAlignment="1">
      <alignment horizontal="center" vertical="center" wrapText="1"/>
    </xf>
    <xf numFmtId="40" fontId="19" fillId="0" borderId="0" xfId="0" applyNumberFormat="1" applyFont="1" applyAlignment="1">
      <alignment horizontal="center"/>
    </xf>
    <xf numFmtId="40" fontId="20" fillId="0" borderId="0" xfId="0" applyNumberFormat="1" applyFont="1" applyAlignment="1">
      <alignment horizontal="right"/>
    </xf>
    <xf numFmtId="40" fontId="19" fillId="0" borderId="0" xfId="0" applyNumberFormat="1" applyFont="1" applyBorder="1" applyAlignment="1">
      <alignment horizontal="right"/>
    </xf>
    <xf numFmtId="40" fontId="20" fillId="0" borderId="0" xfId="0" applyNumberFormat="1" applyFont="1" applyBorder="1" applyAlignment="1">
      <alignment horizontal="right"/>
    </xf>
    <xf numFmtId="40" fontId="20" fillId="0" borderId="0" xfId="0" applyNumberFormat="1" applyFont="1" applyAlignment="1">
      <alignment horizontal="center"/>
    </xf>
    <xf numFmtId="40" fontId="20" fillId="0" borderId="0" xfId="1" applyNumberFormat="1" applyFont="1" applyAlignment="1">
      <alignment horizontal="center"/>
    </xf>
    <xf numFmtId="40" fontId="20" fillId="0" borderId="0" xfId="1" applyNumberFormat="1" applyFont="1" applyAlignment="1">
      <alignment horizontal="right"/>
    </xf>
    <xf numFmtId="40" fontId="0" fillId="0" borderId="0" xfId="0" applyNumberFormat="1"/>
    <xf numFmtId="40" fontId="0" fillId="0" borderId="0" xfId="1" applyNumberFormat="1" applyFont="1"/>
    <xf numFmtId="0" fontId="20" fillId="0" borderId="0" xfId="0" applyFont="1" applyAlignment="1"/>
    <xf numFmtId="0" fontId="19" fillId="0" borderId="0" xfId="0" applyFont="1" applyAlignment="1">
      <alignment horizontal="center"/>
    </xf>
    <xf numFmtId="17" fontId="20" fillId="33" borderId="10" xfId="0" applyNumberFormat="1" applyFont="1" applyFill="1" applyBorder="1" applyAlignment="1">
      <alignment horizontal="center" vertical="center" wrapText="1"/>
    </xf>
    <xf numFmtId="0" fontId="35" fillId="0" borderId="19" xfId="0" applyFont="1" applyBorder="1"/>
    <xf numFmtId="0" fontId="16" fillId="0" borderId="19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36" fillId="0" borderId="19" xfId="0" applyFont="1" applyBorder="1"/>
    <xf numFmtId="0" fontId="0" fillId="0" borderId="19" xfId="0" applyBorder="1"/>
    <xf numFmtId="44" fontId="0" fillId="0" borderId="19" xfId="0" applyNumberFormat="1" applyBorder="1"/>
    <xf numFmtId="49" fontId="0" fillId="0" borderId="19" xfId="0" applyNumberFormat="1" applyBorder="1"/>
    <xf numFmtId="168" fontId="0" fillId="0" borderId="19" xfId="0" applyNumberFormat="1" applyBorder="1"/>
    <xf numFmtId="0" fontId="35" fillId="0" borderId="19" xfId="0" applyFont="1" applyBorder="1" applyAlignment="1">
      <alignment wrapText="1"/>
    </xf>
    <xf numFmtId="0" fontId="35" fillId="0" borderId="19" xfId="0" applyFont="1" applyBorder="1" applyAlignment="1">
      <alignment horizontal="center"/>
    </xf>
    <xf numFmtId="44" fontId="35" fillId="0" borderId="19" xfId="0" applyNumberFormat="1" applyFont="1" applyBorder="1" applyAlignment="1">
      <alignment wrapText="1"/>
    </xf>
    <xf numFmtId="44" fontId="35" fillId="0" borderId="19" xfId="0" applyNumberFormat="1" applyFont="1" applyBorder="1" applyAlignment="1">
      <alignment horizontal="center"/>
    </xf>
    <xf numFmtId="49" fontId="35" fillId="0" borderId="19" xfId="0" applyNumberFormat="1" applyFont="1" applyBorder="1" applyAlignment="1">
      <alignment horizontal="center"/>
    </xf>
    <xf numFmtId="168" fontId="35" fillId="0" borderId="19" xfId="0" applyNumberFormat="1" applyFont="1" applyBorder="1" applyAlignment="1">
      <alignment horizontal="center"/>
    </xf>
    <xf numFmtId="0" fontId="37" fillId="0" borderId="0" xfId="0" applyFont="1"/>
    <xf numFmtId="40" fontId="16" fillId="0" borderId="0" xfId="0" applyNumberFormat="1" applyFont="1"/>
    <xf numFmtId="10" fontId="16" fillId="38" borderId="20" xfId="0" applyNumberFormat="1" applyFont="1" applyFill="1" applyBorder="1"/>
    <xf numFmtId="0" fontId="16" fillId="38" borderId="20" xfId="0" applyFont="1" applyFill="1" applyBorder="1" applyAlignment="1">
      <alignment horizontal="left"/>
    </xf>
    <xf numFmtId="0" fontId="0" fillId="36" borderId="0" xfId="0" applyFill="1" applyAlignment="1">
      <alignment horizontal="left"/>
    </xf>
    <xf numFmtId="10" fontId="0" fillId="0" borderId="0" xfId="0" applyNumberFormat="1"/>
    <xf numFmtId="0" fontId="0" fillId="0" borderId="0" xfId="0" applyAlignment="1">
      <alignment horizontal="left"/>
    </xf>
    <xf numFmtId="0" fontId="19" fillId="0" borderId="0" xfId="0" applyFont="1" applyAlignment="1">
      <alignment horizontal="center"/>
    </xf>
    <xf numFmtId="0" fontId="0" fillId="0" borderId="0" xfId="0" applyAlignment="1">
      <alignment wrapText="1"/>
    </xf>
    <xf numFmtId="10" fontId="0" fillId="0" borderId="0" xfId="48" applyNumberFormat="1" applyFont="1"/>
    <xf numFmtId="9" fontId="0" fillId="0" borderId="0" xfId="48" applyNumberFormat="1" applyFont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16" fillId="0" borderId="0" xfId="0" applyFont="1" applyFill="1"/>
    <xf numFmtId="40" fontId="19" fillId="0" borderId="0" xfId="1" applyNumberFormat="1" applyFont="1" applyFill="1" applyAlignment="1">
      <alignment horizontal="right"/>
    </xf>
    <xf numFmtId="40" fontId="19" fillId="0" borderId="0" xfId="0" applyNumberFormat="1" applyFont="1" applyFill="1" applyAlignment="1">
      <alignment horizontal="right"/>
    </xf>
    <xf numFmtId="0" fontId="0" fillId="0" borderId="0" xfId="0" applyFill="1"/>
    <xf numFmtId="0" fontId="20" fillId="0" borderId="0" xfId="0" applyFont="1" applyFill="1" applyAlignment="1">
      <alignment horizontal="center"/>
    </xf>
    <xf numFmtId="0" fontId="20" fillId="0" borderId="0" xfId="0" applyFont="1" applyFill="1" applyAlignment="1">
      <alignment horizontal="left"/>
    </xf>
    <xf numFmtId="40" fontId="20" fillId="0" borderId="11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/>
    </xf>
    <xf numFmtId="10" fontId="32" fillId="0" borderId="0" xfId="48" applyNumberFormat="1" applyFont="1" applyAlignment="1">
      <alignment horizontal="center"/>
    </xf>
    <xf numFmtId="10" fontId="34" fillId="0" borderId="0" xfId="48" applyNumberFormat="1" applyFont="1" applyAlignment="1">
      <alignment horizontal="center"/>
    </xf>
    <xf numFmtId="10" fontId="20" fillId="33" borderId="10" xfId="48" applyNumberFormat="1" applyFont="1" applyFill="1" applyBorder="1" applyAlignment="1">
      <alignment horizontal="center" vertical="center" wrapText="1"/>
    </xf>
    <xf numFmtId="10" fontId="19" fillId="0" borderId="0" xfId="48" applyNumberFormat="1" applyFont="1" applyAlignment="1">
      <alignment horizontal="center"/>
    </xf>
    <xf numFmtId="10" fontId="20" fillId="0" borderId="0" xfId="48" applyNumberFormat="1" applyFont="1" applyAlignment="1">
      <alignment horizontal="center"/>
    </xf>
    <xf numFmtId="10" fontId="21" fillId="0" borderId="0" xfId="48" applyNumberFormat="1" applyFont="1" applyAlignment="1">
      <alignment horizontal="center"/>
    </xf>
    <xf numFmtId="10" fontId="0" fillId="0" borderId="0" xfId="48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44" applyFont="1" applyFill="1"/>
    <xf numFmtId="3" fontId="1" fillId="0" borderId="0" xfId="44" applyNumberFormat="1" applyFont="1" applyFill="1" applyAlignment="1">
      <alignment horizontal="center"/>
    </xf>
    <xf numFmtId="44" fontId="1" fillId="0" borderId="0" xfId="45" applyFont="1" applyFill="1" applyAlignment="1">
      <alignment horizontal="center"/>
    </xf>
    <xf numFmtId="3" fontId="16" fillId="0" borderId="0" xfId="44" applyNumberFormat="1" applyFont="1" applyFill="1" applyAlignment="1">
      <alignment horizontal="center"/>
    </xf>
    <xf numFmtId="0" fontId="40" fillId="0" borderId="0" xfId="44" applyFont="1" applyFill="1"/>
    <xf numFmtId="3" fontId="40" fillId="0" borderId="0" xfId="44" applyNumberFormat="1" applyFont="1" applyFill="1" applyAlignment="1">
      <alignment horizontal="center"/>
    </xf>
    <xf numFmtId="164" fontId="40" fillId="0" borderId="0" xfId="45" applyNumberFormat="1" applyFont="1" applyFill="1"/>
    <xf numFmtId="164" fontId="1" fillId="37" borderId="0" xfId="45" applyNumberFormat="1" applyFont="1" applyFill="1"/>
    <xf numFmtId="0" fontId="0" fillId="0" borderId="0" xfId="44" applyFont="1" applyFill="1" applyAlignment="1">
      <alignment horizontal="center"/>
    </xf>
    <xf numFmtId="0" fontId="19" fillId="0" borderId="0" xfId="0" applyFont="1" applyAlignment="1">
      <alignment horizontal="center"/>
    </xf>
    <xf numFmtId="167" fontId="0" fillId="0" borderId="0" xfId="0" applyNumberFormat="1"/>
    <xf numFmtId="167" fontId="0" fillId="36" borderId="0" xfId="0" applyNumberFormat="1" applyFill="1"/>
    <xf numFmtId="40" fontId="0" fillId="37" borderId="0" xfId="0" applyNumberFormat="1" applyFill="1"/>
    <xf numFmtId="40" fontId="16" fillId="37" borderId="20" xfId="0" applyNumberFormat="1" applyFont="1" applyFill="1" applyBorder="1"/>
    <xf numFmtId="40" fontId="19" fillId="37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166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44" fontId="1" fillId="0" borderId="0" xfId="45" applyFont="1" applyAlignment="1">
      <alignment horizontal="center" vertical="center" wrapText="1"/>
    </xf>
    <xf numFmtId="10" fontId="1" fillId="0" borderId="0" xfId="46" applyNumberFormat="1" applyFont="1"/>
    <xf numFmtId="44" fontId="1" fillId="0" borderId="0" xfId="0" applyNumberFormat="1" applyFont="1"/>
    <xf numFmtId="8" fontId="1" fillId="0" borderId="0" xfId="45" applyNumberFormat="1" applyFont="1"/>
    <xf numFmtId="8" fontId="1" fillId="0" borderId="0" xfId="0" applyNumberFormat="1" applyFont="1"/>
    <xf numFmtId="170" fontId="1" fillId="0" borderId="0" xfId="1" applyNumberFormat="1" applyFont="1"/>
    <xf numFmtId="0" fontId="1" fillId="0" borderId="0" xfId="0" applyFont="1" applyFill="1" applyAlignment="1">
      <alignment horizontal="center"/>
    </xf>
    <xf numFmtId="171" fontId="0" fillId="0" borderId="0" xfId="0" applyNumberFormat="1"/>
    <xf numFmtId="40" fontId="19" fillId="37" borderId="0" xfId="1" applyNumberFormat="1" applyFont="1" applyFill="1" applyAlignment="1">
      <alignment horizontal="right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2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40" fontId="39" fillId="0" borderId="0" xfId="0" applyNumberFormat="1" applyFont="1" applyFill="1" applyAlignment="1">
      <alignment horizontal="center"/>
    </xf>
    <xf numFmtId="0" fontId="38" fillId="39" borderId="0" xfId="0" applyFont="1" applyFill="1" applyAlignment="1">
      <alignment horizontal="center" vertical="center"/>
    </xf>
    <xf numFmtId="0" fontId="29" fillId="0" borderId="0" xfId="44" applyFont="1" applyAlignment="1">
      <alignment horizontal="center" vertical="center"/>
    </xf>
  </cellXfs>
  <cellStyles count="49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urrency" xfId="47" builtinId="4"/>
    <cellStyle name="Currency 2" xfId="45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rmal 3" xfId="44"/>
    <cellStyle name="Note" xfId="16" builtinId="10" customBuiltin="1"/>
    <cellStyle name="Output" xfId="11" builtinId="21" customBuiltin="1"/>
    <cellStyle name="Percent" xfId="48" builtinId="5"/>
    <cellStyle name="Percent 2" xfId="46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2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81</xdr:row>
      <xdr:rowOff>0</xdr:rowOff>
    </xdr:from>
    <xdr:to>
      <xdr:col>4</xdr:col>
      <xdr:colOff>476249</xdr:colOff>
      <xdr:row>82</xdr:row>
      <xdr:rowOff>23812</xdr:rowOff>
    </xdr:to>
    <xdr:cxnSp macro="">
      <xdr:nvCxnSpPr>
        <xdr:cNvPr id="2" name="Straight Arrow Connector 1"/>
        <xdr:cNvCxnSpPr/>
      </xdr:nvCxnSpPr>
      <xdr:spPr>
        <a:xfrm>
          <a:off x="6200774" y="15430500"/>
          <a:ext cx="47625" cy="2143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428624</xdr:colOff>
      <xdr:row>80</xdr:row>
      <xdr:rowOff>166687</xdr:rowOff>
    </xdr:from>
    <xdr:to>
      <xdr:col>5</xdr:col>
      <xdr:colOff>476249</xdr:colOff>
      <xdr:row>82</xdr:row>
      <xdr:rowOff>47625</xdr:rowOff>
    </xdr:to>
    <xdr:cxnSp macro="">
      <xdr:nvCxnSpPr>
        <xdr:cNvPr id="3" name="Straight Arrow Connector 2"/>
        <xdr:cNvCxnSpPr/>
      </xdr:nvCxnSpPr>
      <xdr:spPr>
        <a:xfrm flipH="1">
          <a:off x="6981824" y="15406687"/>
          <a:ext cx="47625" cy="261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5%20Budget-%202016%20Proforma/New%20Template%20Budgets/Rutherford%20Preliminary%20Budget%20NT%202016%20TEMP%20REV%2004%2001%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PROPERTIES/Budgets/2016%20Budget%20-%20SW/Cegrove%20prelim%20proforma%202015-2016%20S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Op Budget 2015"/>
      <sheetName val="Op Budget 2016"/>
      <sheetName val="Assumptions"/>
      <sheetName val="2015 Dev Costs"/>
      <sheetName val="Broker's Comm"/>
      <sheetName val="Min Rent 2015"/>
      <sheetName val="CAM 2015"/>
      <sheetName val="RETaxes 2015"/>
      <sheetName val="Ins 2015"/>
      <sheetName val="Min Rent 2016"/>
      <sheetName val="CAM 2016"/>
      <sheetName val="RETaxes 2016"/>
      <sheetName val="Ins 2016"/>
    </sheetNames>
    <sheetDataSet>
      <sheetData sheetId="0"/>
      <sheetData sheetId="1">
        <row r="13">
          <cell r="Q13">
            <v>588.5</v>
          </cell>
        </row>
        <row r="14">
          <cell r="Q14">
            <v>995.1</v>
          </cell>
        </row>
        <row r="15">
          <cell r="Q15">
            <v>3610.5</v>
          </cell>
        </row>
        <row r="16">
          <cell r="Q16">
            <v>0</v>
          </cell>
        </row>
        <row r="17">
          <cell r="Q17">
            <v>0</v>
          </cell>
        </row>
        <row r="18">
          <cell r="Q18">
            <v>0</v>
          </cell>
        </row>
        <row r="19">
          <cell r="Q19">
            <v>6981.2</v>
          </cell>
        </row>
        <row r="20">
          <cell r="Q20">
            <v>1500</v>
          </cell>
        </row>
        <row r="21">
          <cell r="Q21">
            <v>0</v>
          </cell>
        </row>
        <row r="22">
          <cell r="Q22">
            <v>0</v>
          </cell>
        </row>
        <row r="23">
          <cell r="Q23">
            <v>1093.5999999999999</v>
          </cell>
        </row>
        <row r="24">
          <cell r="Q24">
            <v>17403.190000000002</v>
          </cell>
        </row>
        <row r="25">
          <cell r="Q25">
            <v>16309.830000000002</v>
          </cell>
        </row>
        <row r="26">
          <cell r="Q26">
            <v>3830.1099999999997</v>
          </cell>
        </row>
        <row r="27">
          <cell r="Q27">
            <v>0</v>
          </cell>
        </row>
        <row r="28">
          <cell r="Q28">
            <v>0</v>
          </cell>
        </row>
        <row r="29">
          <cell r="Q29">
            <v>16278.9</v>
          </cell>
        </row>
        <row r="30">
          <cell r="Q30">
            <v>0</v>
          </cell>
        </row>
        <row r="31">
          <cell r="Q31">
            <v>0</v>
          </cell>
        </row>
        <row r="32">
          <cell r="Q32">
            <v>88655</v>
          </cell>
        </row>
        <row r="33">
          <cell r="Q33">
            <v>1652</v>
          </cell>
        </row>
        <row r="34">
          <cell r="Q34">
            <v>5019.4699999999993</v>
          </cell>
        </row>
        <row r="35">
          <cell r="Q35">
            <v>0</v>
          </cell>
        </row>
        <row r="36">
          <cell r="Q36">
            <v>0</v>
          </cell>
        </row>
        <row r="37">
          <cell r="Q37">
            <v>0</v>
          </cell>
        </row>
        <row r="38">
          <cell r="Q38">
            <v>0</v>
          </cell>
        </row>
        <row r="39">
          <cell r="Q39">
            <v>0</v>
          </cell>
        </row>
        <row r="40">
          <cell r="Q40">
            <v>10963.33</v>
          </cell>
        </row>
        <row r="41">
          <cell r="Q41">
            <v>16965.75</v>
          </cell>
        </row>
        <row r="42">
          <cell r="Q42">
            <v>12170</v>
          </cell>
        </row>
        <row r="43">
          <cell r="Q43">
            <v>0</v>
          </cell>
        </row>
        <row r="44">
          <cell r="Q44">
            <v>0</v>
          </cell>
        </row>
        <row r="45">
          <cell r="Q45">
            <v>1058.8900000000001</v>
          </cell>
        </row>
        <row r="46">
          <cell r="Q46">
            <v>194.67000000000002</v>
          </cell>
        </row>
        <row r="47">
          <cell r="Q47">
            <v>681.67000000000007</v>
          </cell>
        </row>
        <row r="48">
          <cell r="Q48">
            <v>0</v>
          </cell>
        </row>
        <row r="49">
          <cell r="Q49">
            <v>251</v>
          </cell>
        </row>
        <row r="50">
          <cell r="Q50">
            <v>0</v>
          </cell>
        </row>
        <row r="51">
          <cell r="Q51">
            <v>98.06</v>
          </cell>
        </row>
        <row r="52">
          <cell r="Q52">
            <v>121.74000000000001</v>
          </cell>
        </row>
        <row r="56">
          <cell r="Q56">
            <v>52312.03</v>
          </cell>
        </row>
        <row r="73">
          <cell r="P73">
            <v>84180.56</v>
          </cell>
        </row>
      </sheetData>
      <sheetData sheetId="2"/>
      <sheetData sheetId="3">
        <row r="3">
          <cell r="B3">
            <v>1.49E-2</v>
          </cell>
          <cell r="I3">
            <v>5763.2800000000007</v>
          </cell>
          <cell r="J3">
            <v>13333.33</v>
          </cell>
        </row>
        <row r="4">
          <cell r="I4">
            <v>5782.49</v>
          </cell>
          <cell r="J4">
            <v>13314.12</v>
          </cell>
        </row>
        <row r="5">
          <cell r="B5">
            <v>0</v>
          </cell>
          <cell r="I5">
            <v>5801.76</v>
          </cell>
          <cell r="J5">
            <v>13294.85</v>
          </cell>
        </row>
        <row r="6">
          <cell r="I6">
            <v>5821.1</v>
          </cell>
          <cell r="J6">
            <v>13275.51</v>
          </cell>
        </row>
        <row r="7">
          <cell r="I7">
            <v>5840.51</v>
          </cell>
          <cell r="J7">
            <v>13256.1</v>
          </cell>
        </row>
        <row r="8">
          <cell r="I8">
            <v>5859.9700000000012</v>
          </cell>
          <cell r="J8">
            <v>13236.64</v>
          </cell>
        </row>
        <row r="9">
          <cell r="I9">
            <v>5879.51</v>
          </cell>
          <cell r="J9">
            <v>13217.1</v>
          </cell>
        </row>
        <row r="10">
          <cell r="I10">
            <v>5899.1100000000006</v>
          </cell>
          <cell r="J10">
            <v>13197.5</v>
          </cell>
          <cell r="P10"/>
        </row>
        <row r="11">
          <cell r="B11">
            <v>13333.333333333334</v>
          </cell>
          <cell r="I11">
            <v>5918.77</v>
          </cell>
          <cell r="J11">
            <v>13177.84</v>
          </cell>
          <cell r="P11">
            <v>13855</v>
          </cell>
        </row>
        <row r="12">
          <cell r="P12">
            <v>13855</v>
          </cell>
        </row>
        <row r="19">
          <cell r="P19"/>
        </row>
        <row r="20">
          <cell r="P20">
            <v>14493</v>
          </cell>
        </row>
        <row r="21">
          <cell r="P21">
            <v>14493</v>
          </cell>
        </row>
        <row r="28">
          <cell r="P28"/>
        </row>
        <row r="29">
          <cell r="P29">
            <v>10681</v>
          </cell>
        </row>
        <row r="30">
          <cell r="P30">
            <v>10681</v>
          </cell>
        </row>
        <row r="31">
          <cell r="P31">
            <v>10681</v>
          </cell>
        </row>
        <row r="34">
          <cell r="P34">
            <v>35000</v>
          </cell>
        </row>
      </sheetData>
      <sheetData sheetId="4"/>
      <sheetData sheetId="5">
        <row r="14">
          <cell r="K14">
            <v>9137</v>
          </cell>
          <cell r="L14">
            <v>0</v>
          </cell>
          <cell r="M14">
            <v>0</v>
          </cell>
          <cell r="N14">
            <v>15419</v>
          </cell>
          <cell r="O14">
            <v>4204.8355000000001</v>
          </cell>
          <cell r="P14">
            <v>1773.9150025162505</v>
          </cell>
          <cell r="Q14">
            <v>15419</v>
          </cell>
          <cell r="R14">
            <v>0</v>
          </cell>
          <cell r="S14">
            <v>0</v>
          </cell>
          <cell r="T14">
            <v>1773.9150025162505</v>
          </cell>
          <cell r="U14">
            <v>4204.8355000000001</v>
          </cell>
          <cell r="V14">
            <v>3547.830005032501</v>
          </cell>
        </row>
      </sheetData>
      <sheetData sheetId="6">
        <row r="15">
          <cell r="C15">
            <v>21897</v>
          </cell>
        </row>
      </sheetData>
      <sheetData sheetId="7"/>
      <sheetData sheetId="8"/>
      <sheetData sheetId="9"/>
      <sheetData sheetId="10">
        <row r="16">
          <cell r="E16">
            <v>25525</v>
          </cell>
          <cell r="F16">
            <v>25525</v>
          </cell>
          <cell r="G16">
            <v>25525</v>
          </cell>
          <cell r="H16">
            <v>25525</v>
          </cell>
          <cell r="I16">
            <v>26717.258064516129</v>
          </cell>
          <cell r="J16">
            <v>28165</v>
          </cell>
          <cell r="K16">
            <v>29515</v>
          </cell>
          <cell r="L16">
            <v>29515</v>
          </cell>
          <cell r="M16">
            <v>30628.75</v>
          </cell>
          <cell r="N16">
            <v>31742.5</v>
          </cell>
          <cell r="O16">
            <v>33970</v>
          </cell>
          <cell r="P16">
            <v>33970</v>
          </cell>
        </row>
      </sheetData>
      <sheetData sheetId="11">
        <row r="16">
          <cell r="E16">
            <v>2145</v>
          </cell>
          <cell r="F16">
            <v>2145</v>
          </cell>
          <cell r="G16">
            <v>2145</v>
          </cell>
          <cell r="H16">
            <v>2145</v>
          </cell>
          <cell r="I16">
            <v>2300.3548387096776</v>
          </cell>
          <cell r="J16">
            <v>2489</v>
          </cell>
          <cell r="K16">
            <v>2489</v>
          </cell>
          <cell r="L16">
            <v>2489</v>
          </cell>
          <cell r="M16">
            <v>2646</v>
          </cell>
          <cell r="N16">
            <v>2803</v>
          </cell>
          <cell r="O16">
            <v>3117</v>
          </cell>
          <cell r="P16">
            <v>3117</v>
          </cell>
        </row>
      </sheetData>
      <sheetData sheetId="12">
        <row r="16">
          <cell r="E16">
            <v>6007</v>
          </cell>
          <cell r="F16">
            <v>6007</v>
          </cell>
          <cell r="G16">
            <v>6007</v>
          </cell>
          <cell r="H16">
            <v>6007</v>
          </cell>
          <cell r="I16">
            <v>6200.7419354838712</v>
          </cell>
          <cell r="J16">
            <v>6436</v>
          </cell>
          <cell r="K16">
            <v>6436</v>
          </cell>
          <cell r="L16">
            <v>6436</v>
          </cell>
          <cell r="M16">
            <v>6632</v>
          </cell>
          <cell r="N16">
            <v>6828</v>
          </cell>
          <cell r="O16">
            <v>7220</v>
          </cell>
          <cell r="P16">
            <v>7220</v>
          </cell>
        </row>
      </sheetData>
      <sheetData sheetId="13">
        <row r="16">
          <cell r="D16">
            <v>390</v>
          </cell>
          <cell r="E16">
            <v>390</v>
          </cell>
          <cell r="F16">
            <v>390</v>
          </cell>
          <cell r="G16">
            <v>390</v>
          </cell>
          <cell r="H16">
            <v>390</v>
          </cell>
          <cell r="I16">
            <v>390</v>
          </cell>
          <cell r="J16">
            <v>390</v>
          </cell>
          <cell r="K16">
            <v>390</v>
          </cell>
          <cell r="L16">
            <v>390</v>
          </cell>
          <cell r="M16">
            <v>390</v>
          </cell>
          <cell r="N16">
            <v>390</v>
          </cell>
          <cell r="O16">
            <v>390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rating Expenses 2015"/>
      <sheetName val="Operating Expenses 2016"/>
      <sheetName val="Assumptions"/>
      <sheetName val="Commissions"/>
      <sheetName val="Base Rent 2015"/>
      <sheetName val="Comm Area 2015"/>
      <sheetName val="Base Rent 2016"/>
      <sheetName val="Comm Area 2016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C8">
            <v>1200</v>
          </cell>
        </row>
        <row r="9">
          <cell r="C9">
            <v>2500</v>
          </cell>
        </row>
        <row r="10">
          <cell r="C10">
            <v>1657</v>
          </cell>
        </row>
        <row r="11">
          <cell r="C11">
            <v>1502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125"/>
  <sheetViews>
    <sheetView workbookViewId="0">
      <selection activeCell="A86" sqref="A86:B88"/>
    </sheetView>
  </sheetViews>
  <sheetFormatPr defaultRowHeight="15" x14ac:dyDescent="0.25"/>
  <cols>
    <col min="1" max="1" width="11.42578125" customWidth="1"/>
    <col min="2" max="2" width="37.140625" customWidth="1"/>
    <col min="3" max="4" width="17.140625" customWidth="1"/>
    <col min="5" max="5" width="1.7109375" customWidth="1"/>
    <col min="6" max="7" width="17.140625" customWidth="1"/>
  </cols>
  <sheetData>
    <row r="1" spans="1:9" x14ac:dyDescent="0.25">
      <c r="A1" s="219" t="s">
        <v>162</v>
      </c>
      <c r="B1" s="219"/>
      <c r="C1" s="219"/>
      <c r="D1" s="219"/>
      <c r="E1" s="219"/>
      <c r="F1" s="219"/>
      <c r="G1" s="219"/>
    </row>
    <row r="2" spans="1:9" ht="15.75" x14ac:dyDescent="0.25">
      <c r="A2" s="220" t="s">
        <v>195</v>
      </c>
      <c r="B2" s="220"/>
      <c r="C2" s="220"/>
      <c r="D2" s="220"/>
      <c r="E2" s="220"/>
      <c r="F2" s="220"/>
      <c r="G2" s="220"/>
    </row>
    <row r="3" spans="1:9" x14ac:dyDescent="0.25">
      <c r="A3" s="219"/>
      <c r="B3" s="219"/>
      <c r="C3" s="219"/>
      <c r="D3" s="219"/>
      <c r="E3" s="219"/>
      <c r="F3" s="219"/>
      <c r="G3" s="219"/>
    </row>
    <row r="4" spans="1:9" x14ac:dyDescent="0.25">
      <c r="A4" s="219"/>
      <c r="B4" s="219"/>
      <c r="C4" s="219"/>
      <c r="D4" s="219"/>
      <c r="E4" s="219"/>
      <c r="F4" s="219"/>
      <c r="G4" s="219"/>
    </row>
    <row r="5" spans="1:9" s="11" customFormat="1" ht="21.75" thickBot="1" x14ac:dyDescent="0.3">
      <c r="A5" s="10"/>
      <c r="B5" s="10"/>
      <c r="C5" s="10" t="s">
        <v>197</v>
      </c>
      <c r="D5" s="10" t="s">
        <v>196</v>
      </c>
      <c r="E5" s="10"/>
      <c r="F5" s="10" t="s">
        <v>198</v>
      </c>
      <c r="G5" s="10" t="s">
        <v>199</v>
      </c>
    </row>
    <row r="6" spans="1:9" x14ac:dyDescent="0.25">
      <c r="A6" s="1"/>
      <c r="B6" s="5"/>
      <c r="C6" s="5"/>
      <c r="D6" s="1"/>
      <c r="E6" s="1"/>
      <c r="F6" s="1"/>
      <c r="G6" s="1"/>
    </row>
    <row r="7" spans="1:9" x14ac:dyDescent="0.25">
      <c r="A7" s="1" t="s">
        <v>1</v>
      </c>
      <c r="B7" s="5" t="s">
        <v>2</v>
      </c>
      <c r="C7" s="5"/>
      <c r="D7" s="9"/>
      <c r="E7" s="9"/>
      <c r="F7" s="9"/>
      <c r="G7" s="9"/>
    </row>
    <row r="8" spans="1:9" x14ac:dyDescent="0.25">
      <c r="A8" s="1"/>
      <c r="B8" s="5"/>
      <c r="C8" s="5"/>
      <c r="D8" s="1"/>
      <c r="E8" s="1"/>
      <c r="F8" s="1"/>
      <c r="G8" s="1"/>
    </row>
    <row r="9" spans="1:9" x14ac:dyDescent="0.25">
      <c r="A9" s="1" t="s">
        <v>3</v>
      </c>
      <c r="B9" s="5" t="s">
        <v>4</v>
      </c>
      <c r="C9" s="5"/>
      <c r="D9" s="9"/>
      <c r="E9" s="9"/>
      <c r="F9" s="9"/>
      <c r="G9" s="9"/>
    </row>
    <row r="10" spans="1:9" x14ac:dyDescent="0.25">
      <c r="A10" s="1" t="s">
        <v>5</v>
      </c>
      <c r="B10" s="5" t="s">
        <v>6</v>
      </c>
      <c r="C10" s="4"/>
      <c r="D10" s="4">
        <v>76575</v>
      </c>
      <c r="E10" s="4"/>
      <c r="F10" s="4">
        <f>_xlfn.IFNA(VLOOKUP(A10,'2017 Projected'!$A$10:$P$221,3,FALSE),)</f>
        <v>727513</v>
      </c>
      <c r="G10" s="4">
        <v>0</v>
      </c>
      <c r="I10" s="1"/>
    </row>
    <row r="11" spans="1:9" ht="15.75" thickBot="1" x14ac:dyDescent="0.3">
      <c r="A11" s="1" t="s">
        <v>7</v>
      </c>
      <c r="B11" s="5"/>
      <c r="C11" s="1"/>
      <c r="D11" s="1"/>
      <c r="E11" s="1"/>
      <c r="F11" s="4">
        <f>_xlfn.IFNA(VLOOKUP(A11,'2017 Projected'!$A$10:$P$221,3,FALSE),)</f>
        <v>0</v>
      </c>
      <c r="G11" s="1"/>
      <c r="I11" s="1"/>
    </row>
    <row r="12" spans="1:9" x14ac:dyDescent="0.25">
      <c r="A12" s="1" t="s">
        <v>9</v>
      </c>
      <c r="B12" s="5" t="s">
        <v>10</v>
      </c>
      <c r="C12" s="8"/>
      <c r="D12" s="8">
        <v>76575</v>
      </c>
      <c r="E12" s="8"/>
      <c r="F12" s="8">
        <v>76575</v>
      </c>
      <c r="G12" s="8">
        <v>0</v>
      </c>
      <c r="I12" s="1"/>
    </row>
    <row r="13" spans="1:9" x14ac:dyDescent="0.25">
      <c r="A13" s="1"/>
      <c r="B13" s="5"/>
      <c r="C13" s="1"/>
      <c r="D13" s="1"/>
      <c r="E13" s="1"/>
      <c r="F13" s="1"/>
      <c r="G13" s="1"/>
      <c r="I13" s="1"/>
    </row>
    <row r="14" spans="1:9" x14ac:dyDescent="0.25">
      <c r="A14" s="1" t="s">
        <v>11</v>
      </c>
      <c r="B14" s="5" t="s">
        <v>12</v>
      </c>
      <c r="C14" s="9"/>
      <c r="D14" s="9"/>
      <c r="E14" s="9"/>
      <c r="F14" s="9"/>
      <c r="G14" s="9"/>
      <c r="I14" s="1"/>
    </row>
    <row r="15" spans="1:9" x14ac:dyDescent="0.25">
      <c r="A15" s="1" t="s">
        <v>13</v>
      </c>
      <c r="B15" s="5" t="str">
        <f>VLOOKUP(A15,'2017 Projected'!$A$9:$B$221,2,FALSE)</f>
        <v> REIMB. - UTILITIES</v>
      </c>
      <c r="C15" s="9"/>
      <c r="D15" s="9"/>
      <c r="E15" s="9"/>
      <c r="F15" s="4">
        <f>_xlfn.IFNA(VLOOKUP(A15,'2017 Projected'!$A$10:$P$221,3,FALSE),)</f>
        <v>0</v>
      </c>
      <c r="G15" s="9"/>
      <c r="I15" s="1"/>
    </row>
    <row r="16" spans="1:9" x14ac:dyDescent="0.25">
      <c r="A16" s="1" t="s">
        <v>15</v>
      </c>
      <c r="B16" s="5" t="s">
        <v>16</v>
      </c>
      <c r="C16" s="4"/>
      <c r="D16" s="4">
        <v>7342.83</v>
      </c>
      <c r="E16" s="4"/>
      <c r="F16" s="4">
        <f>_xlfn.IFNA(VLOOKUP(A16,'2017 Projected'!$A$10:$P$221,3,FALSE),)</f>
        <v>234583</v>
      </c>
      <c r="G16" s="4">
        <v>0</v>
      </c>
      <c r="I16" s="1"/>
    </row>
    <row r="17" spans="1:9" x14ac:dyDescent="0.25">
      <c r="A17" s="1" t="s">
        <v>17</v>
      </c>
      <c r="B17" s="5" t="s">
        <v>18</v>
      </c>
      <c r="C17" s="4"/>
      <c r="D17" s="4">
        <v>1171.92</v>
      </c>
      <c r="E17" s="4"/>
      <c r="F17" s="4">
        <f>_xlfn.IFNA(VLOOKUP(A17,'2017 Projected'!$A$10:$P$221,3,FALSE),)</f>
        <v>0</v>
      </c>
      <c r="G17" s="4">
        <v>0</v>
      </c>
      <c r="I17" s="1"/>
    </row>
    <row r="18" spans="1:9" x14ac:dyDescent="0.25">
      <c r="A18" s="1" t="s">
        <v>19</v>
      </c>
      <c r="B18" s="5" t="s">
        <v>20</v>
      </c>
      <c r="C18" s="4"/>
      <c r="D18" s="4">
        <v>18028.740000000002</v>
      </c>
      <c r="E18" s="4"/>
      <c r="F18" s="4">
        <f>_xlfn.IFNA(VLOOKUP(A18,'2017 Projected'!$A$10:$P$221,3,FALSE),)</f>
        <v>0</v>
      </c>
      <c r="G18" s="4">
        <v>0</v>
      </c>
      <c r="I18" s="1"/>
    </row>
    <row r="19" spans="1:9" x14ac:dyDescent="0.25">
      <c r="A19" s="1" t="s">
        <v>21</v>
      </c>
      <c r="B19" s="5" t="str">
        <f>VLOOKUP(A19,'2017 Projected'!$A$9:$B$221,2,FALSE)</f>
        <v> CAM RECOVERY</v>
      </c>
      <c r="C19" s="4"/>
      <c r="D19" s="4"/>
      <c r="E19" s="4"/>
      <c r="F19" s="4">
        <f>_xlfn.IFNA(VLOOKUP(A19,'2017 Projected'!$A$10:$P$221,3,FALSE),)</f>
        <v>0</v>
      </c>
      <c r="G19" s="4"/>
      <c r="I19" s="1"/>
    </row>
    <row r="20" spans="1:9" x14ac:dyDescent="0.25">
      <c r="A20" s="1" t="s">
        <v>23</v>
      </c>
      <c r="B20" s="5" t="str">
        <f>VLOOKUP(A20,'2017 Projected'!$A$9:$B$221,2,FALSE)</f>
        <v> INSURANCE RECOVERY</v>
      </c>
      <c r="C20" s="4"/>
      <c r="D20" s="4"/>
      <c r="E20" s="4"/>
      <c r="F20" s="4">
        <f>_xlfn.IFNA(VLOOKUP(A20,'2017 Projected'!$A$10:$P$221,3,FALSE),)</f>
        <v>0</v>
      </c>
      <c r="G20" s="4"/>
      <c r="I20" s="1"/>
    </row>
    <row r="21" spans="1:9" x14ac:dyDescent="0.25">
      <c r="A21" s="1" t="s">
        <v>25</v>
      </c>
      <c r="B21" s="5" t="str">
        <f>VLOOKUP(A21,'2017 Projected'!$A$9:$B$221,2,FALSE)</f>
        <v> TAX RECOVERY</v>
      </c>
      <c r="C21" s="4"/>
      <c r="D21" s="4"/>
      <c r="E21" s="4"/>
      <c r="F21" s="4">
        <f>_xlfn.IFNA(VLOOKUP(A21,'2017 Projected'!$A$10:$P$221,3,FALSE),)</f>
        <v>0</v>
      </c>
      <c r="G21" s="4"/>
      <c r="I21" s="1"/>
    </row>
    <row r="22" spans="1:9" ht="15.75" thickBot="1" x14ac:dyDescent="0.3">
      <c r="A22" s="1" t="s">
        <v>27</v>
      </c>
      <c r="B22" s="5" t="s">
        <v>28</v>
      </c>
      <c r="C22" s="4"/>
      <c r="D22" s="4">
        <v>1201.32</v>
      </c>
      <c r="E22" s="4"/>
      <c r="F22" s="4">
        <f>_xlfn.IFNA(VLOOKUP(A22,'2017 Projected'!$A$10:$P$221,3,FALSE),)</f>
        <v>0</v>
      </c>
      <c r="G22" s="4">
        <v>0</v>
      </c>
      <c r="I22" s="1"/>
    </row>
    <row r="23" spans="1:9" ht="15.75" thickBot="1" x14ac:dyDescent="0.3">
      <c r="A23" s="1" t="s">
        <v>29</v>
      </c>
      <c r="B23" s="5" t="s">
        <v>30</v>
      </c>
      <c r="C23" s="8"/>
      <c r="D23" s="8">
        <v>27744.81</v>
      </c>
      <c r="E23" s="8"/>
      <c r="F23" s="4">
        <f>_xlfn.IFNA(VLOOKUP(A23,'2017 Projected'!$A$10:$P$221,3,FALSE),)</f>
        <v>234583</v>
      </c>
      <c r="G23" s="8">
        <v>0</v>
      </c>
      <c r="I23" s="1"/>
    </row>
    <row r="24" spans="1:9" x14ac:dyDescent="0.25">
      <c r="A24" s="1" t="s">
        <v>39</v>
      </c>
      <c r="B24" s="5" t="s">
        <v>40</v>
      </c>
      <c r="C24" s="8"/>
      <c r="D24" s="8">
        <v>104319.81</v>
      </c>
      <c r="E24" s="8"/>
      <c r="F24" s="8">
        <v>104319.81</v>
      </c>
      <c r="G24" s="8">
        <v>0</v>
      </c>
      <c r="I24" s="1"/>
    </row>
    <row r="25" spans="1:9" x14ac:dyDescent="0.25">
      <c r="A25" s="1"/>
      <c r="B25" s="5"/>
      <c r="C25" s="1"/>
      <c r="D25" s="1"/>
      <c r="E25" s="1"/>
      <c r="F25" s="1"/>
      <c r="G25" s="1"/>
      <c r="I25" s="1"/>
    </row>
    <row r="26" spans="1:9" x14ac:dyDescent="0.25">
      <c r="A26" s="1" t="s">
        <v>41</v>
      </c>
      <c r="B26" s="5" t="s">
        <v>42</v>
      </c>
      <c r="C26" s="9"/>
      <c r="D26" s="9"/>
      <c r="E26" s="9"/>
      <c r="F26" s="9"/>
      <c r="G26" s="9"/>
      <c r="I26" s="1"/>
    </row>
    <row r="27" spans="1:9" x14ac:dyDescent="0.25">
      <c r="A27" s="1" t="s">
        <v>43</v>
      </c>
      <c r="B27" s="5" t="s">
        <v>44</v>
      </c>
      <c r="C27" s="9"/>
      <c r="D27" s="9"/>
      <c r="E27" s="9"/>
      <c r="F27" s="9"/>
      <c r="G27" s="9"/>
      <c r="I27" s="1"/>
    </row>
    <row r="28" spans="1:9" x14ac:dyDescent="0.25">
      <c r="A28" s="1" t="s">
        <v>194</v>
      </c>
      <c r="B28" s="5" t="s">
        <v>193</v>
      </c>
      <c r="C28" s="4"/>
      <c r="D28" s="4">
        <v>240.75</v>
      </c>
      <c r="E28" s="4"/>
      <c r="F28" s="4">
        <f>_xlfn.IFNA(VLOOKUP(A28,'2017 Projected'!$A$10:$P$221,3,FALSE),)</f>
        <v>13031</v>
      </c>
      <c r="G28" s="4">
        <v>0</v>
      </c>
      <c r="I28" s="1"/>
    </row>
    <row r="29" spans="1:9" x14ac:dyDescent="0.25">
      <c r="A29" s="1" t="s">
        <v>49</v>
      </c>
      <c r="B29" s="5" t="s">
        <v>50</v>
      </c>
      <c r="C29" s="4"/>
      <c r="D29" s="4">
        <v>4280</v>
      </c>
      <c r="E29" s="4"/>
      <c r="F29" s="4">
        <f>_xlfn.IFNA(VLOOKUP(A29,'2017 Projected'!$A$10:$P$221,3,FALSE),)</f>
        <v>22811</v>
      </c>
      <c r="G29" s="4">
        <v>0</v>
      </c>
      <c r="I29" s="1"/>
    </row>
    <row r="30" spans="1:9" x14ac:dyDescent="0.25">
      <c r="A30" s="1" t="s">
        <v>192</v>
      </c>
      <c r="B30" s="5" t="s">
        <v>191</v>
      </c>
      <c r="C30" s="4"/>
      <c r="D30" s="4">
        <v>22.61</v>
      </c>
      <c r="E30" s="4"/>
      <c r="F30" s="4">
        <f>_xlfn.IFNA(VLOOKUP(A30,'2017 Projected'!$A$10:$P$221,3,FALSE),)</f>
        <v>0</v>
      </c>
      <c r="G30" s="4">
        <v>0</v>
      </c>
      <c r="I30" s="1"/>
    </row>
    <row r="31" spans="1:9" x14ac:dyDescent="0.25">
      <c r="A31" s="1" t="s">
        <v>53</v>
      </c>
      <c r="B31" s="5" t="s">
        <v>54</v>
      </c>
      <c r="C31" s="4"/>
      <c r="D31" s="4">
        <v>2450.0700000000002</v>
      </c>
      <c r="E31" s="4"/>
      <c r="F31" s="4">
        <f>_xlfn.IFNA(VLOOKUP(A31,'2017 Projected'!$A$10:$P$221,3,FALSE),)</f>
        <v>39500</v>
      </c>
      <c r="G31" s="4">
        <v>0</v>
      </c>
      <c r="I31" s="1"/>
    </row>
    <row r="32" spans="1:9" x14ac:dyDescent="0.25">
      <c r="A32" s="1" t="s">
        <v>55</v>
      </c>
      <c r="B32" s="5" t="s">
        <v>56</v>
      </c>
      <c r="C32" s="4"/>
      <c r="D32" s="4">
        <v>1460.72</v>
      </c>
      <c r="E32" s="4"/>
      <c r="F32" s="4">
        <f>_xlfn.IFNA(VLOOKUP(A32,'2017 Projected'!$A$10:$P$221,3,FALSE),)</f>
        <v>8951</v>
      </c>
      <c r="G32" s="4">
        <v>0</v>
      </c>
      <c r="I32" s="1"/>
    </row>
    <row r="33" spans="1:9" ht="15.75" thickBot="1" x14ac:dyDescent="0.3">
      <c r="A33" s="1" t="s">
        <v>57</v>
      </c>
      <c r="B33" s="5" t="s">
        <v>58</v>
      </c>
      <c r="C33" s="4"/>
      <c r="D33" s="4">
        <v>1252.0899999999999</v>
      </c>
      <c r="E33" s="4"/>
      <c r="F33" s="4">
        <f>_xlfn.IFNA(VLOOKUP(A33,'2017 Projected'!$A$10:$P$221,3,FALSE),)</f>
        <v>37900</v>
      </c>
      <c r="G33" s="4">
        <v>0</v>
      </c>
      <c r="I33" s="1"/>
    </row>
    <row r="34" spans="1:9" x14ac:dyDescent="0.25">
      <c r="A34" s="1" t="s">
        <v>59</v>
      </c>
      <c r="B34" s="5" t="s">
        <v>60</v>
      </c>
      <c r="C34" s="8"/>
      <c r="D34" s="8">
        <v>9706.24</v>
      </c>
      <c r="E34" s="8"/>
      <c r="F34" s="8">
        <v>9706.24</v>
      </c>
      <c r="G34" s="8">
        <v>0</v>
      </c>
      <c r="I34" s="1"/>
    </row>
    <row r="35" spans="1:9" x14ac:dyDescent="0.25">
      <c r="A35" s="1" t="s">
        <v>61</v>
      </c>
      <c r="B35" s="5" t="s">
        <v>62</v>
      </c>
      <c r="C35" s="9"/>
      <c r="D35" s="9"/>
      <c r="E35" s="9"/>
      <c r="F35" s="9"/>
      <c r="G35" s="9"/>
      <c r="I35" s="1"/>
    </row>
    <row r="36" spans="1:9" x14ac:dyDescent="0.25">
      <c r="A36" s="1"/>
      <c r="B36" s="5"/>
      <c r="C36" s="9"/>
      <c r="D36" s="9"/>
      <c r="E36" s="9"/>
      <c r="F36" s="9"/>
      <c r="G36" s="9"/>
      <c r="I36" s="1"/>
    </row>
    <row r="37" spans="1:9" x14ac:dyDescent="0.25">
      <c r="A37" s="1"/>
      <c r="B37" s="5"/>
      <c r="C37" s="9"/>
      <c r="D37" s="9"/>
      <c r="E37" s="9"/>
      <c r="F37" s="9"/>
      <c r="G37" s="9"/>
      <c r="I37" s="1"/>
    </row>
    <row r="38" spans="1:9" x14ac:dyDescent="0.25">
      <c r="A38" s="1"/>
      <c r="B38" s="5"/>
      <c r="C38" s="9"/>
      <c r="D38" s="9"/>
      <c r="E38" s="9"/>
      <c r="F38" s="9"/>
      <c r="G38" s="9"/>
      <c r="I38" s="1"/>
    </row>
    <row r="39" spans="1:9" x14ac:dyDescent="0.25">
      <c r="A39" s="1"/>
      <c r="B39" s="5"/>
      <c r="C39" s="9"/>
      <c r="D39" s="9"/>
      <c r="E39" s="9"/>
      <c r="F39" s="9"/>
      <c r="G39" s="9"/>
      <c r="I39" s="1"/>
    </row>
    <row r="40" spans="1:9" x14ac:dyDescent="0.25">
      <c r="A40" s="1" t="s">
        <v>73</v>
      </c>
      <c r="B40" s="5" t="s">
        <v>74</v>
      </c>
      <c r="C40" s="4"/>
      <c r="D40" s="4">
        <v>570</v>
      </c>
      <c r="E40" s="4"/>
      <c r="F40" s="4">
        <f>_xlfn.IFNA(VLOOKUP(A40,'2017 Projected'!$A$10:$P$221,3,FALSE),)</f>
        <v>30040</v>
      </c>
      <c r="G40" s="4">
        <v>0</v>
      </c>
      <c r="I40" s="1"/>
    </row>
    <row r="41" spans="1:9" x14ac:dyDescent="0.25">
      <c r="A41" s="1" t="s">
        <v>190</v>
      </c>
      <c r="B41" s="5" t="s">
        <v>189</v>
      </c>
      <c r="C41" s="4"/>
      <c r="D41" s="4">
        <v>-251.33</v>
      </c>
      <c r="E41" s="4"/>
      <c r="F41" s="4">
        <f>_xlfn.IFNA(VLOOKUP(A41,'2017 Projected'!$A$10:$P$221,3,FALSE),)</f>
        <v>0</v>
      </c>
      <c r="G41" s="4">
        <v>0</v>
      </c>
      <c r="I41" s="1"/>
    </row>
    <row r="42" spans="1:9" x14ac:dyDescent="0.25">
      <c r="A42" s="1" t="s">
        <v>79</v>
      </c>
      <c r="B42" s="5" t="s">
        <v>80</v>
      </c>
      <c r="C42" s="4"/>
      <c r="D42" s="4">
        <v>42.49</v>
      </c>
      <c r="E42" s="4"/>
      <c r="F42" s="4">
        <f>_xlfn.IFNA(VLOOKUP(A42,'2017 Projected'!$A$10:$P$221,3,FALSE),)</f>
        <v>0</v>
      </c>
      <c r="G42" s="4">
        <v>0</v>
      </c>
      <c r="I42" s="1"/>
    </row>
    <row r="43" spans="1:9" x14ac:dyDescent="0.25">
      <c r="A43" s="1" t="s">
        <v>81</v>
      </c>
      <c r="B43" s="5" t="s">
        <v>82</v>
      </c>
      <c r="C43" s="4"/>
      <c r="D43" s="4">
        <v>372.65</v>
      </c>
      <c r="E43" s="4"/>
      <c r="F43" s="4">
        <f>_xlfn.IFNA(VLOOKUP(A43,'2017 Projected'!$A$10:$P$221,3,FALSE),)</f>
        <v>0</v>
      </c>
      <c r="G43" s="4">
        <v>0</v>
      </c>
      <c r="I43" s="1"/>
    </row>
    <row r="44" spans="1:9" x14ac:dyDescent="0.25">
      <c r="A44" s="1" t="s">
        <v>85</v>
      </c>
      <c r="B44" s="5" t="s">
        <v>86</v>
      </c>
      <c r="C44" s="4"/>
      <c r="D44" s="4">
        <v>15</v>
      </c>
      <c r="E44" s="4"/>
      <c r="F44" s="4">
        <f>_xlfn.IFNA(VLOOKUP(A44,'2017 Projected'!$A$10:$P$221,3,FALSE),)</f>
        <v>0</v>
      </c>
      <c r="G44" s="4">
        <v>0</v>
      </c>
      <c r="I44" s="1"/>
    </row>
    <row r="45" spans="1:9" x14ac:dyDescent="0.25">
      <c r="A45" s="1" t="s">
        <v>87</v>
      </c>
      <c r="B45" s="5" t="s">
        <v>88</v>
      </c>
      <c r="C45" s="4"/>
      <c r="D45" s="4">
        <v>3372.2</v>
      </c>
      <c r="E45" s="4"/>
      <c r="F45" s="4">
        <f>_xlfn.IFNA(VLOOKUP(A45,'2017 Projected'!$A$10:$P$221,3,FALSE),)</f>
        <v>14400</v>
      </c>
      <c r="G45" s="4">
        <v>0</v>
      </c>
      <c r="I45" s="1"/>
    </row>
    <row r="46" spans="1:9" x14ac:dyDescent="0.25">
      <c r="A46" s="1" t="s">
        <v>89</v>
      </c>
      <c r="B46" s="5" t="s">
        <v>90</v>
      </c>
      <c r="C46" s="4"/>
      <c r="D46" s="4">
        <v>900</v>
      </c>
      <c r="E46" s="4"/>
      <c r="F46" s="4">
        <f>_xlfn.IFNA(VLOOKUP(A46,'2017 Projected'!$A$10:$P$221,3,FALSE),)</f>
        <v>7200</v>
      </c>
      <c r="G46" s="4">
        <v>0</v>
      </c>
      <c r="I46" s="1"/>
    </row>
    <row r="47" spans="1:9" ht="15.75" thickBot="1" x14ac:dyDescent="0.3">
      <c r="A47" s="1"/>
      <c r="B47" s="5"/>
      <c r="C47" s="1"/>
      <c r="D47" s="1"/>
      <c r="E47" s="1"/>
      <c r="F47" s="1"/>
      <c r="G47" s="1"/>
      <c r="I47" s="1"/>
    </row>
    <row r="48" spans="1:9" x14ac:dyDescent="0.25">
      <c r="A48" s="1" t="s">
        <v>93</v>
      </c>
      <c r="B48" s="5" t="s">
        <v>94</v>
      </c>
      <c r="C48" s="8"/>
      <c r="D48" s="8">
        <v>5021.01</v>
      </c>
      <c r="E48" s="8"/>
      <c r="F48" s="8">
        <v>5021.01</v>
      </c>
      <c r="G48" s="8">
        <v>0</v>
      </c>
      <c r="I48" s="1"/>
    </row>
    <row r="49" spans="1:9" x14ac:dyDescent="0.25">
      <c r="A49" s="1"/>
      <c r="B49" s="5"/>
      <c r="C49" s="1"/>
      <c r="D49" s="1"/>
      <c r="E49" s="1"/>
      <c r="F49" s="1"/>
      <c r="G49" s="1"/>
      <c r="I49" s="1"/>
    </row>
    <row r="50" spans="1:9" x14ac:dyDescent="0.25">
      <c r="A50" s="1" t="s">
        <v>95</v>
      </c>
      <c r="B50" s="5" t="s">
        <v>96</v>
      </c>
      <c r="C50" s="9"/>
      <c r="D50" s="9"/>
      <c r="E50" s="9"/>
      <c r="F50" s="9"/>
      <c r="G50" s="9"/>
      <c r="I50" s="1"/>
    </row>
    <row r="51" spans="1:9" x14ac:dyDescent="0.25">
      <c r="A51" s="1" t="s">
        <v>97</v>
      </c>
      <c r="B51" s="5" t="s">
        <v>98</v>
      </c>
      <c r="C51" s="4"/>
      <c r="D51" s="4">
        <v>93.94</v>
      </c>
      <c r="E51" s="4"/>
      <c r="F51" s="4">
        <f>_xlfn.IFNA(VLOOKUP(A51,'2017 Projected'!$A$10:$P$221,3,FALSE),)</f>
        <v>400</v>
      </c>
      <c r="G51" s="4">
        <v>0</v>
      </c>
      <c r="I51" s="1"/>
    </row>
    <row r="52" spans="1:9" x14ac:dyDescent="0.25">
      <c r="A52" s="1" t="s">
        <v>99</v>
      </c>
      <c r="B52" s="5" t="s">
        <v>100</v>
      </c>
      <c r="C52" s="4"/>
      <c r="D52" s="4">
        <v>311.60000000000002</v>
      </c>
      <c r="E52" s="4"/>
      <c r="F52" s="4">
        <f>_xlfn.IFNA(VLOOKUP(A52,'2017 Projected'!$A$10:$P$221,3,FALSE),)</f>
        <v>1806</v>
      </c>
      <c r="G52" s="4">
        <v>0</v>
      </c>
      <c r="I52" s="1"/>
    </row>
    <row r="53" spans="1:9" x14ac:dyDescent="0.25">
      <c r="A53" s="1" t="s">
        <v>101</v>
      </c>
      <c r="B53" s="5" t="s">
        <v>102</v>
      </c>
      <c r="C53" s="4"/>
      <c r="D53" s="4">
        <v>251</v>
      </c>
      <c r="E53" s="4"/>
      <c r="F53" s="4">
        <f>_xlfn.IFNA(VLOOKUP(A53,'2017 Projected'!$A$10:$P$221,3,FALSE),)</f>
        <v>0</v>
      </c>
      <c r="G53" s="4">
        <v>0</v>
      </c>
      <c r="I53" s="1"/>
    </row>
    <row r="54" spans="1:9" x14ac:dyDescent="0.25">
      <c r="A54" s="1" t="s">
        <v>103</v>
      </c>
      <c r="B54" s="5" t="s">
        <v>104</v>
      </c>
      <c r="C54" s="4"/>
      <c r="D54" s="4">
        <v>35.04</v>
      </c>
      <c r="E54" s="4"/>
      <c r="F54" s="4">
        <f>_xlfn.IFNA(VLOOKUP(A54,'2017 Projected'!$A$10:$P$221,3,FALSE),)</f>
        <v>255</v>
      </c>
      <c r="G54" s="4">
        <v>0</v>
      </c>
      <c r="I54" s="1"/>
    </row>
    <row r="55" spans="1:9" ht="15.75" thickBot="1" x14ac:dyDescent="0.3">
      <c r="A55" s="1"/>
      <c r="B55" s="5"/>
      <c r="C55" s="1"/>
      <c r="D55" s="1"/>
      <c r="E55" s="1"/>
      <c r="F55" s="1"/>
      <c r="G55" s="1"/>
      <c r="I55" s="1"/>
    </row>
    <row r="56" spans="1:9" x14ac:dyDescent="0.25">
      <c r="A56" s="1" t="s">
        <v>105</v>
      </c>
      <c r="B56" s="5" t="s">
        <v>106</v>
      </c>
      <c r="C56" s="8"/>
      <c r="D56" s="8">
        <v>691.58</v>
      </c>
      <c r="E56" s="8"/>
      <c r="F56" s="8">
        <v>691.58</v>
      </c>
      <c r="G56" s="8">
        <v>0</v>
      </c>
      <c r="I56" s="1"/>
    </row>
    <row r="57" spans="1:9" x14ac:dyDescent="0.25">
      <c r="A57" s="1"/>
      <c r="B57" s="5"/>
      <c r="C57" s="1"/>
      <c r="D57" s="1"/>
      <c r="E57" s="1"/>
      <c r="F57" s="1"/>
      <c r="G57" s="1"/>
      <c r="I57" s="1"/>
    </row>
    <row r="58" spans="1:9" x14ac:dyDescent="0.25">
      <c r="A58" s="1" t="s">
        <v>107</v>
      </c>
      <c r="B58" s="5" t="s">
        <v>108</v>
      </c>
      <c r="C58" s="9"/>
      <c r="D58" s="9"/>
      <c r="E58" s="9"/>
      <c r="F58" s="9"/>
      <c r="G58" s="9"/>
      <c r="I58" s="1"/>
    </row>
    <row r="59" spans="1:9" x14ac:dyDescent="0.25">
      <c r="A59" s="1" t="s">
        <v>109</v>
      </c>
      <c r="B59" s="5" t="s">
        <v>110</v>
      </c>
      <c r="C59" s="4"/>
      <c r="D59" s="4">
        <v>27555.56</v>
      </c>
      <c r="E59" s="4"/>
      <c r="F59" s="4">
        <f>_xlfn.IFNA(VLOOKUP(A59,'2017 Projected'!$A$10:$P$221,3,FALSE),)</f>
        <v>404773</v>
      </c>
      <c r="G59" s="4">
        <v>0</v>
      </c>
      <c r="I59" s="1"/>
    </row>
    <row r="60" spans="1:9" ht="15.75" thickBot="1" x14ac:dyDescent="0.3">
      <c r="A60" s="1"/>
      <c r="B60" s="5"/>
      <c r="C60" s="1"/>
      <c r="D60" s="1"/>
      <c r="E60" s="1"/>
      <c r="F60" s="1"/>
      <c r="G60" s="1"/>
      <c r="I60" s="1"/>
    </row>
    <row r="61" spans="1:9" x14ac:dyDescent="0.25">
      <c r="A61" s="1" t="s">
        <v>111</v>
      </c>
      <c r="B61" s="5" t="s">
        <v>112</v>
      </c>
      <c r="C61" s="8"/>
      <c r="D61" s="8">
        <v>27555.56</v>
      </c>
      <c r="E61" s="8"/>
      <c r="F61" s="8">
        <v>27555.56</v>
      </c>
      <c r="G61" s="8">
        <v>0</v>
      </c>
      <c r="I61" s="1"/>
    </row>
    <row r="62" spans="1:9" x14ac:dyDescent="0.25">
      <c r="A62" s="1"/>
      <c r="B62" s="5"/>
      <c r="C62" s="1"/>
      <c r="D62" s="1"/>
      <c r="E62" s="1"/>
      <c r="F62" s="1"/>
      <c r="G62" s="1"/>
      <c r="I62" s="1"/>
    </row>
    <row r="63" spans="1:9" ht="15.75" thickBot="1" x14ac:dyDescent="0.3">
      <c r="A63" s="1"/>
      <c r="B63" s="5"/>
      <c r="C63" s="1"/>
      <c r="D63" s="1"/>
      <c r="E63" s="1"/>
      <c r="F63" s="1"/>
      <c r="G63" s="1"/>
      <c r="I63" s="1"/>
    </row>
    <row r="64" spans="1:9" x14ac:dyDescent="0.25">
      <c r="A64" s="1" t="s">
        <v>113</v>
      </c>
      <c r="B64" s="5" t="s">
        <v>114</v>
      </c>
      <c r="C64" s="8"/>
      <c r="D64" s="8">
        <v>42974.39</v>
      </c>
      <c r="E64" s="8"/>
      <c r="F64" s="8">
        <v>42974.39</v>
      </c>
      <c r="G64" s="8">
        <v>0</v>
      </c>
      <c r="I64" s="1"/>
    </row>
    <row r="65" spans="1:9" x14ac:dyDescent="0.25">
      <c r="A65" s="1"/>
      <c r="B65" s="5"/>
      <c r="C65" s="1"/>
      <c r="D65" s="1"/>
      <c r="E65" s="1"/>
      <c r="F65" s="1"/>
      <c r="G65" s="1"/>
      <c r="I65" s="1"/>
    </row>
    <row r="66" spans="1:9" ht="15.75" thickBot="1" x14ac:dyDescent="0.3">
      <c r="A66" s="1"/>
      <c r="B66" s="5"/>
      <c r="C66" s="1"/>
      <c r="D66" s="1"/>
      <c r="E66" s="1"/>
      <c r="F66" s="1"/>
      <c r="G66" s="1"/>
      <c r="I66" s="1"/>
    </row>
    <row r="67" spans="1:9" x14ac:dyDescent="0.25">
      <c r="A67" s="1" t="s">
        <v>115</v>
      </c>
      <c r="B67" s="5" t="s">
        <v>116</v>
      </c>
      <c r="C67" s="8"/>
      <c r="D67" s="8">
        <v>61345.42</v>
      </c>
      <c r="E67" s="8"/>
      <c r="F67" s="8">
        <v>61345.42</v>
      </c>
      <c r="G67" s="8">
        <v>0</v>
      </c>
      <c r="I67" s="1"/>
    </row>
    <row r="68" spans="1:9" x14ac:dyDescent="0.25">
      <c r="A68" s="1"/>
      <c r="B68" s="5"/>
      <c r="C68" s="1"/>
      <c r="D68" s="1"/>
      <c r="E68" s="1"/>
      <c r="F68" s="1"/>
      <c r="G68" s="1"/>
      <c r="I68" s="1"/>
    </row>
    <row r="69" spans="1:9" x14ac:dyDescent="0.25">
      <c r="A69" s="1"/>
      <c r="B69" s="5" t="s">
        <v>117</v>
      </c>
      <c r="C69" s="9"/>
      <c r="D69" s="9"/>
      <c r="E69" s="9"/>
      <c r="F69" s="9"/>
      <c r="G69" s="9"/>
      <c r="I69" s="1"/>
    </row>
    <row r="70" spans="1:9" x14ac:dyDescent="0.25">
      <c r="A70" s="1" t="s">
        <v>118</v>
      </c>
      <c r="B70" s="5" t="s">
        <v>119</v>
      </c>
      <c r="C70" s="4"/>
      <c r="D70" s="4">
        <v>-13944.84</v>
      </c>
      <c r="E70" s="4"/>
      <c r="F70" s="4">
        <f>_xlfn.IFNA(VLOOKUP(A70,'2017 Projected'!$A$10:$P$221,3,FALSE),)</f>
        <v>-128089</v>
      </c>
      <c r="G70" s="4">
        <v>0</v>
      </c>
      <c r="I70" s="1"/>
    </row>
    <row r="71" spans="1:9" ht="15.75" thickBot="1" x14ac:dyDescent="0.3">
      <c r="A71" s="1"/>
      <c r="B71" s="5"/>
      <c r="C71" s="1"/>
      <c r="D71" s="1"/>
      <c r="E71" s="1"/>
      <c r="F71" s="1"/>
      <c r="G71" s="1"/>
      <c r="I71" s="1"/>
    </row>
    <row r="72" spans="1:9" x14ac:dyDescent="0.25">
      <c r="A72" s="1" t="s">
        <v>120</v>
      </c>
      <c r="B72" s="5" t="s">
        <v>121</v>
      </c>
      <c r="C72" s="8"/>
      <c r="D72" s="8">
        <v>-13944.84</v>
      </c>
      <c r="E72" s="8"/>
      <c r="F72" s="8">
        <v>-13944.84</v>
      </c>
      <c r="G72" s="8">
        <v>0</v>
      </c>
      <c r="I72" s="1"/>
    </row>
    <row r="73" spans="1:9" x14ac:dyDescent="0.25">
      <c r="A73" s="1" t="s">
        <v>122</v>
      </c>
      <c r="B73" s="5" t="s">
        <v>123</v>
      </c>
      <c r="C73" s="9"/>
      <c r="D73" s="9"/>
      <c r="E73" s="9"/>
      <c r="F73" s="9"/>
      <c r="G73" s="9"/>
      <c r="I73" s="1"/>
    </row>
    <row r="74" spans="1:9" ht="15.75" thickBot="1" x14ac:dyDescent="0.3">
      <c r="A74" s="1" t="s">
        <v>124</v>
      </c>
      <c r="B74" s="5" t="s">
        <v>125</v>
      </c>
      <c r="C74" s="4"/>
      <c r="D74" s="4">
        <v>-7935</v>
      </c>
      <c r="E74" s="4"/>
      <c r="F74" s="4">
        <f>_xlfn.IFNA(VLOOKUP(A74,'2017 Projected'!$A$10:$P$221,3,FALSE),)</f>
        <v>0</v>
      </c>
      <c r="G74" s="4">
        <v>0</v>
      </c>
      <c r="I74" s="1"/>
    </row>
    <row r="75" spans="1:9" x14ac:dyDescent="0.25">
      <c r="A75" s="1" t="s">
        <v>128</v>
      </c>
      <c r="B75" s="5" t="s">
        <v>129</v>
      </c>
      <c r="C75" s="8"/>
      <c r="D75" s="8">
        <v>-7935</v>
      </c>
      <c r="E75" s="8"/>
      <c r="F75" s="8">
        <v>-7935</v>
      </c>
      <c r="G75" s="8">
        <v>0</v>
      </c>
      <c r="I75" s="1"/>
    </row>
    <row r="76" spans="1:9" x14ac:dyDescent="0.25">
      <c r="A76" s="1"/>
      <c r="B76" s="5"/>
      <c r="C76" s="1"/>
      <c r="D76" s="1"/>
      <c r="E76" s="1"/>
      <c r="F76" s="1"/>
      <c r="G76" s="1"/>
      <c r="I76" s="1"/>
    </row>
    <row r="77" spans="1:9" x14ac:dyDescent="0.25">
      <c r="A77" s="1" t="s">
        <v>130</v>
      </c>
      <c r="B77" s="5" t="s">
        <v>131</v>
      </c>
      <c r="C77" s="9"/>
      <c r="D77" s="9"/>
      <c r="E77" s="9"/>
      <c r="F77" s="9"/>
      <c r="G77" s="9"/>
      <c r="I77" s="1"/>
    </row>
    <row r="78" spans="1:9" x14ac:dyDescent="0.25">
      <c r="A78" s="1" t="s">
        <v>134</v>
      </c>
      <c r="B78" s="5" t="s">
        <v>135</v>
      </c>
      <c r="C78" s="4"/>
      <c r="D78" s="4">
        <v>-15419.53</v>
      </c>
      <c r="E78" s="4"/>
      <c r="F78" s="4">
        <f>_xlfn.IFNA(VLOOKUP(A78,'2017 Projected'!$A$10:$P$221,3,FALSE),)</f>
        <v>0</v>
      </c>
      <c r="G78" s="4">
        <v>0</v>
      </c>
      <c r="I78" s="1"/>
    </row>
    <row r="79" spans="1:9" ht="15.75" thickBot="1" x14ac:dyDescent="0.3">
      <c r="A79" s="1"/>
      <c r="B79" s="5"/>
      <c r="C79" s="1"/>
      <c r="D79" s="1"/>
      <c r="E79" s="1"/>
      <c r="F79" s="1"/>
      <c r="G79" s="1"/>
      <c r="I79" s="1"/>
    </row>
    <row r="80" spans="1:9" x14ac:dyDescent="0.25">
      <c r="A80" s="1" t="s">
        <v>136</v>
      </c>
      <c r="B80" s="5" t="s">
        <v>137</v>
      </c>
      <c r="C80" s="8"/>
      <c r="D80" s="8">
        <v>-15419.53</v>
      </c>
      <c r="E80" s="8"/>
      <c r="F80" s="8">
        <v>-15419.53</v>
      </c>
      <c r="G80" s="8">
        <v>0</v>
      </c>
      <c r="I80" s="1"/>
    </row>
    <row r="81" spans="1:9" x14ac:dyDescent="0.25">
      <c r="A81" s="1"/>
      <c r="B81" s="5"/>
      <c r="C81" s="1"/>
      <c r="D81" s="1"/>
      <c r="E81" s="1"/>
      <c r="F81" s="1"/>
      <c r="G81" s="1"/>
      <c r="I81" s="1"/>
    </row>
    <row r="82" spans="1:9" ht="15.75" thickBot="1" x14ac:dyDescent="0.3">
      <c r="A82" s="1"/>
      <c r="B82" s="5"/>
      <c r="C82" s="1"/>
      <c r="D82" s="1"/>
      <c r="E82" s="1"/>
      <c r="F82" s="1"/>
      <c r="G82" s="1"/>
      <c r="I82" s="1"/>
    </row>
    <row r="83" spans="1:9" x14ac:dyDescent="0.25">
      <c r="A83" s="1" t="s">
        <v>138</v>
      </c>
      <c r="B83" s="5" t="s">
        <v>139</v>
      </c>
      <c r="C83" s="8"/>
      <c r="D83" s="8">
        <v>-37299.370000000003</v>
      </c>
      <c r="E83" s="8"/>
      <c r="F83" s="8">
        <v>-37299.370000000003</v>
      </c>
      <c r="G83" s="8">
        <v>0</v>
      </c>
      <c r="I83" s="1"/>
    </row>
    <row r="84" spans="1:9" x14ac:dyDescent="0.25">
      <c r="A84" s="1"/>
      <c r="B84" s="5"/>
      <c r="C84" s="1"/>
      <c r="D84" s="1"/>
      <c r="E84" s="1"/>
      <c r="F84" s="1"/>
      <c r="G84" s="1"/>
      <c r="I84" s="1"/>
    </row>
    <row r="85" spans="1:9" x14ac:dyDescent="0.25">
      <c r="A85" s="1" t="s">
        <v>140</v>
      </c>
      <c r="B85" s="5" t="s">
        <v>141</v>
      </c>
      <c r="C85" s="9"/>
      <c r="D85" s="9"/>
      <c r="E85" s="9"/>
      <c r="F85" s="9"/>
      <c r="G85" s="9"/>
      <c r="I85" s="1"/>
    </row>
    <row r="86" spans="1:9" x14ac:dyDescent="0.25">
      <c r="A86" s="1" t="s">
        <v>142</v>
      </c>
      <c r="B86" s="5" t="s">
        <v>143</v>
      </c>
      <c r="C86" s="4"/>
      <c r="D86" s="4">
        <v>-426.72</v>
      </c>
      <c r="E86" s="4"/>
      <c r="F86" s="4">
        <f>_xlfn.IFNA(VLOOKUP(A86,'2017 Projected'!$A$10:$P$221,3,FALSE),)</f>
        <v>0</v>
      </c>
      <c r="G86" s="4">
        <v>0</v>
      </c>
      <c r="I86" s="1"/>
    </row>
    <row r="87" spans="1:9" x14ac:dyDescent="0.25">
      <c r="A87" s="1" t="s">
        <v>144</v>
      </c>
      <c r="B87" s="5" t="s">
        <v>145</v>
      </c>
      <c r="C87" s="4"/>
      <c r="D87" s="4">
        <v>3355</v>
      </c>
      <c r="E87" s="4"/>
      <c r="F87" s="4">
        <f>_xlfn.IFNA(VLOOKUP(A87,'2017 Projected'!$A$10:$P$221,3,FALSE),)</f>
        <v>0</v>
      </c>
      <c r="G87" s="4">
        <v>0</v>
      </c>
      <c r="I87" s="1"/>
    </row>
    <row r="88" spans="1:9" ht="15.75" thickBot="1" x14ac:dyDescent="0.3">
      <c r="A88" s="1" t="s">
        <v>188</v>
      </c>
      <c r="B88" s="5" t="s">
        <v>187</v>
      </c>
      <c r="C88" s="4"/>
      <c r="D88" s="4">
        <v>6710</v>
      </c>
      <c r="E88" s="4"/>
      <c r="F88" s="4">
        <f>_xlfn.IFNA(VLOOKUP(A88,'2017 Projected'!$A$10:$P$221,3,FALSE),)</f>
        <v>0</v>
      </c>
      <c r="G88" s="4">
        <v>0</v>
      </c>
      <c r="I88" s="1"/>
    </row>
    <row r="89" spans="1:9" x14ac:dyDescent="0.25">
      <c r="A89" s="1" t="s">
        <v>146</v>
      </c>
      <c r="B89" s="5" t="s">
        <v>147</v>
      </c>
      <c r="C89" s="8"/>
      <c r="D89" s="8">
        <v>9638.2800000000007</v>
      </c>
      <c r="E89" s="8"/>
      <c r="F89" s="8">
        <v>9638.2800000000007</v>
      </c>
      <c r="G89" s="8">
        <v>0</v>
      </c>
      <c r="I89" s="1"/>
    </row>
    <row r="90" spans="1:9" ht="15.75" thickBot="1" x14ac:dyDescent="0.3">
      <c r="A90" s="1" t="s">
        <v>148</v>
      </c>
      <c r="B90" s="5" t="s">
        <v>149</v>
      </c>
      <c r="C90" s="9"/>
      <c r="D90" s="9"/>
      <c r="E90" s="9"/>
      <c r="F90" s="9"/>
      <c r="G90" s="9"/>
      <c r="I90" s="1"/>
    </row>
    <row r="91" spans="1:9" x14ac:dyDescent="0.25">
      <c r="A91" s="1" t="s">
        <v>153</v>
      </c>
      <c r="B91" s="5" t="s">
        <v>154</v>
      </c>
      <c r="C91" s="8"/>
      <c r="D91" s="8">
        <v>0</v>
      </c>
      <c r="E91" s="8"/>
      <c r="F91" s="8">
        <v>0</v>
      </c>
      <c r="G91" s="8">
        <v>0</v>
      </c>
      <c r="I91" s="1"/>
    </row>
    <row r="92" spans="1:9" ht="15.75" thickBot="1" x14ac:dyDescent="0.3">
      <c r="A92" s="1" t="s">
        <v>155</v>
      </c>
      <c r="B92" s="5" t="s">
        <v>156</v>
      </c>
      <c r="C92" s="9"/>
      <c r="D92" s="9"/>
      <c r="E92" s="9"/>
      <c r="F92" s="9"/>
      <c r="G92" s="9"/>
      <c r="I92" s="1"/>
    </row>
    <row r="93" spans="1:9" x14ac:dyDescent="0.25">
      <c r="A93" s="1" t="s">
        <v>158</v>
      </c>
      <c r="B93" s="5" t="s">
        <v>159</v>
      </c>
      <c r="C93" s="8"/>
      <c r="D93" s="8">
        <v>0</v>
      </c>
      <c r="E93" s="8"/>
      <c r="F93" s="8">
        <v>0</v>
      </c>
      <c r="G93" s="8">
        <v>0</v>
      </c>
      <c r="I93" s="1"/>
    </row>
    <row r="94" spans="1:9" ht="15.75" thickBot="1" x14ac:dyDescent="0.3">
      <c r="A94" s="1"/>
      <c r="B94" s="5"/>
      <c r="C94" s="1"/>
      <c r="D94" s="1"/>
      <c r="E94" s="1"/>
      <c r="F94" s="1"/>
      <c r="G94" s="1"/>
      <c r="I94" s="1"/>
    </row>
    <row r="95" spans="1:9" x14ac:dyDescent="0.25">
      <c r="A95" s="1"/>
      <c r="B95" s="5" t="s">
        <v>160</v>
      </c>
      <c r="C95" s="8"/>
      <c r="D95" s="8">
        <v>-27661.09</v>
      </c>
      <c r="E95" s="8"/>
      <c r="F95" s="8">
        <v>-27661.09</v>
      </c>
      <c r="G95" s="8">
        <v>0</v>
      </c>
      <c r="I95" s="1"/>
    </row>
    <row r="96" spans="1:9" ht="15.75" thickBot="1" x14ac:dyDescent="0.3">
      <c r="A96" s="1"/>
      <c r="B96" s="5"/>
      <c r="C96" s="1"/>
      <c r="D96" s="1"/>
      <c r="E96" s="1"/>
      <c r="F96" s="1"/>
      <c r="G96" s="1"/>
      <c r="I96" s="1"/>
    </row>
    <row r="97" spans="1:9" x14ac:dyDescent="0.25">
      <c r="A97" s="1"/>
      <c r="B97" s="5" t="s">
        <v>161</v>
      </c>
      <c r="C97" s="8"/>
      <c r="D97" s="8">
        <v>33684.33</v>
      </c>
      <c r="E97" s="8"/>
      <c r="F97" s="8">
        <v>33684.33</v>
      </c>
      <c r="G97" s="8">
        <v>0</v>
      </c>
      <c r="I97" s="1"/>
    </row>
    <row r="98" spans="1:9" x14ac:dyDescent="0.25">
      <c r="A98" s="218"/>
      <c r="B98" s="218"/>
      <c r="C98" s="218"/>
      <c r="D98" s="218"/>
      <c r="E98" s="218"/>
      <c r="F98" s="218"/>
      <c r="G98" s="218"/>
      <c r="I98" s="1"/>
    </row>
    <row r="99" spans="1:9" x14ac:dyDescent="0.25">
      <c r="A99" s="1"/>
      <c r="B99" s="3" t="s">
        <v>186</v>
      </c>
      <c r="C99" s="3"/>
      <c r="D99" s="6" t="s">
        <v>184</v>
      </c>
      <c r="E99" s="6"/>
      <c r="F99" s="6" t="s">
        <v>163</v>
      </c>
      <c r="G99" s="1"/>
      <c r="I99" s="1"/>
    </row>
    <row r="100" spans="1:9" x14ac:dyDescent="0.25">
      <c r="A100" s="1" t="s">
        <v>182</v>
      </c>
      <c r="B100" s="5" t="s">
        <v>181</v>
      </c>
      <c r="C100" s="5"/>
      <c r="D100" s="4">
        <v>84180.56</v>
      </c>
      <c r="E100" s="4"/>
      <c r="F100" s="4">
        <v>33684.33</v>
      </c>
      <c r="G100" s="1"/>
      <c r="I100" s="1"/>
    </row>
    <row r="101" spans="1:9" x14ac:dyDescent="0.25">
      <c r="A101" s="1" t="s">
        <v>180</v>
      </c>
      <c r="B101" s="5" t="s">
        <v>179</v>
      </c>
      <c r="C101" s="5"/>
      <c r="D101" s="4">
        <v>-46.88</v>
      </c>
      <c r="E101" s="4"/>
      <c r="F101" s="4">
        <v>0</v>
      </c>
      <c r="G101" s="1"/>
      <c r="I101" s="1"/>
    </row>
    <row r="102" spans="1:9" x14ac:dyDescent="0.25">
      <c r="A102" s="1" t="s">
        <v>178</v>
      </c>
      <c r="B102" s="5" t="s">
        <v>177</v>
      </c>
      <c r="C102" s="5"/>
      <c r="D102" s="4">
        <v>0</v>
      </c>
      <c r="E102" s="4"/>
      <c r="F102" s="4">
        <v>0</v>
      </c>
      <c r="G102" s="1"/>
      <c r="I102" s="1"/>
    </row>
    <row r="103" spans="1:9" x14ac:dyDescent="0.25">
      <c r="A103" s="1" t="s">
        <v>176</v>
      </c>
      <c r="B103" s="5" t="s">
        <v>175</v>
      </c>
      <c r="C103" s="5"/>
      <c r="D103" s="4">
        <v>301482.59999999998</v>
      </c>
      <c r="E103" s="4"/>
      <c r="F103" s="4">
        <v>0</v>
      </c>
      <c r="G103" s="1"/>
      <c r="I103" s="1"/>
    </row>
    <row r="104" spans="1:9" x14ac:dyDescent="0.25">
      <c r="A104" s="1" t="s">
        <v>174</v>
      </c>
      <c r="B104" s="5" t="s">
        <v>173</v>
      </c>
      <c r="C104" s="5"/>
      <c r="D104" s="4">
        <v>22073.4</v>
      </c>
      <c r="E104" s="4"/>
      <c r="F104" s="4">
        <v>0</v>
      </c>
      <c r="G104" s="1"/>
      <c r="I104" s="1"/>
    </row>
    <row r="105" spans="1:9" x14ac:dyDescent="0.25">
      <c r="A105" s="1"/>
      <c r="B105" s="3" t="s">
        <v>164</v>
      </c>
      <c r="C105" s="3"/>
      <c r="D105" s="2">
        <v>407689.68</v>
      </c>
      <c r="E105" s="2"/>
      <c r="F105" s="2">
        <v>33684.33</v>
      </c>
      <c r="G105" s="1"/>
      <c r="I105" s="1"/>
    </row>
    <row r="106" spans="1:9" x14ac:dyDescent="0.25">
      <c r="A106" s="218"/>
      <c r="B106" s="218"/>
      <c r="C106" s="218"/>
      <c r="D106" s="218"/>
      <c r="E106" s="218"/>
      <c r="F106" s="218"/>
      <c r="G106" s="218"/>
      <c r="I106" s="1"/>
    </row>
    <row r="107" spans="1:9" x14ac:dyDescent="0.25">
      <c r="A107" s="1"/>
      <c r="B107" s="3" t="s">
        <v>185</v>
      </c>
      <c r="C107" s="3"/>
      <c r="D107" s="6" t="s">
        <v>184</v>
      </c>
      <c r="E107" s="6"/>
      <c r="F107" s="6" t="s">
        <v>163</v>
      </c>
      <c r="G107" s="1"/>
      <c r="I107" s="1"/>
    </row>
    <row r="108" spans="1:9" x14ac:dyDescent="0.25">
      <c r="A108" s="1" t="s">
        <v>182</v>
      </c>
      <c r="B108" s="5" t="s">
        <v>181</v>
      </c>
      <c r="C108" s="5"/>
      <c r="D108" s="4">
        <v>84180.56</v>
      </c>
      <c r="E108" s="4"/>
      <c r="F108" s="4">
        <v>33684.33</v>
      </c>
      <c r="G108" s="1"/>
      <c r="I108" s="1"/>
    </row>
    <row r="109" spans="1:9" x14ac:dyDescent="0.25">
      <c r="A109" s="1" t="s">
        <v>180</v>
      </c>
      <c r="B109" s="5" t="s">
        <v>179</v>
      </c>
      <c r="C109" s="5"/>
      <c r="D109" s="4">
        <v>-46.88</v>
      </c>
      <c r="E109" s="4"/>
      <c r="F109" s="4">
        <v>0</v>
      </c>
      <c r="G109" s="1"/>
      <c r="I109" s="1"/>
    </row>
    <row r="110" spans="1:9" x14ac:dyDescent="0.25">
      <c r="A110" s="1" t="s">
        <v>178</v>
      </c>
      <c r="B110" s="5" t="s">
        <v>177</v>
      </c>
      <c r="C110" s="5"/>
      <c r="D110" s="4">
        <v>0</v>
      </c>
      <c r="E110" s="4"/>
      <c r="F110" s="4">
        <v>0</v>
      </c>
      <c r="G110" s="1"/>
      <c r="I110" s="1"/>
    </row>
    <row r="111" spans="1:9" x14ac:dyDescent="0.25">
      <c r="A111" s="1" t="s">
        <v>176</v>
      </c>
      <c r="B111" s="5" t="s">
        <v>175</v>
      </c>
      <c r="C111" s="5"/>
      <c r="D111" s="4">
        <v>301482.59999999998</v>
      </c>
      <c r="E111" s="4"/>
      <c r="F111" s="4">
        <v>0</v>
      </c>
      <c r="G111" s="1"/>
      <c r="I111" s="1"/>
    </row>
    <row r="112" spans="1:9" x14ac:dyDescent="0.25">
      <c r="A112" s="1" t="s">
        <v>174</v>
      </c>
      <c r="B112" s="5" t="s">
        <v>173</v>
      </c>
      <c r="C112" s="5"/>
      <c r="D112" s="4">
        <v>22073.4</v>
      </c>
      <c r="E112" s="4"/>
      <c r="F112" s="4">
        <v>0</v>
      </c>
      <c r="G112" s="1"/>
      <c r="I112" s="1"/>
    </row>
    <row r="113" spans="1:9" x14ac:dyDescent="0.25">
      <c r="A113" s="1"/>
      <c r="B113" s="3" t="s">
        <v>164</v>
      </c>
      <c r="C113" s="3"/>
      <c r="D113" s="2">
        <v>407689.68</v>
      </c>
      <c r="E113" s="2"/>
      <c r="F113" s="2">
        <v>33684.33</v>
      </c>
      <c r="G113" s="1"/>
      <c r="I113" s="1"/>
    </row>
    <row r="114" spans="1:9" x14ac:dyDescent="0.25">
      <c r="I114" s="1"/>
    </row>
    <row r="115" spans="1:9" x14ac:dyDescent="0.25">
      <c r="I115" s="1"/>
    </row>
    <row r="116" spans="1:9" x14ac:dyDescent="0.25">
      <c r="I116" s="1"/>
    </row>
    <row r="117" spans="1:9" x14ac:dyDescent="0.25">
      <c r="I117" s="1"/>
    </row>
    <row r="118" spans="1:9" x14ac:dyDescent="0.25">
      <c r="I118" s="1"/>
    </row>
    <row r="119" spans="1:9" x14ac:dyDescent="0.25">
      <c r="I119" s="1"/>
    </row>
    <row r="120" spans="1:9" x14ac:dyDescent="0.25">
      <c r="I120" s="1"/>
    </row>
    <row r="121" spans="1:9" x14ac:dyDescent="0.25">
      <c r="I121" s="1"/>
    </row>
    <row r="122" spans="1:9" x14ac:dyDescent="0.25">
      <c r="I122" s="1"/>
    </row>
    <row r="123" spans="1:9" x14ac:dyDescent="0.25">
      <c r="I123" s="1"/>
    </row>
    <row r="124" spans="1:9" x14ac:dyDescent="0.25">
      <c r="I124" s="1"/>
    </row>
    <row r="125" spans="1:9" x14ac:dyDescent="0.25">
      <c r="I125" s="1"/>
    </row>
  </sheetData>
  <mergeCells count="6">
    <mergeCell ref="A106:G106"/>
    <mergeCell ref="A1:G1"/>
    <mergeCell ref="A2:G2"/>
    <mergeCell ref="A3:G3"/>
    <mergeCell ref="A4:G4"/>
    <mergeCell ref="A98:G98"/>
  </mergeCells>
  <printOptions gridLines="1"/>
  <pageMargins left="0.7" right="0.7" top="0.7" bottom="0.7" header="0.5" footer="0.5"/>
  <pageSetup fitToHeight="990" orientation="portrait" verticalDpi="0" r:id="rId1"/>
  <headerFooter>
    <oddHeader>&amp;R&amp;B&amp;D &amp;T</oddHeader>
    <oddFooter>&amp;C&amp;B Page &amp;P of &amp;N</oddFooter>
  </headerFooter>
  <rowBreaks count="1" manualBreakCount="1">
    <brk id="3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26"/>
  <sheetViews>
    <sheetView workbookViewId="0">
      <pane ySplit="15" topLeftCell="A52" activePane="bottomLeft" state="frozen"/>
      <selection pane="bottomLeft" activeCell="N59" sqref="N59:N70"/>
    </sheetView>
  </sheetViews>
  <sheetFormatPr defaultRowHeight="15" x14ac:dyDescent="0.25"/>
  <cols>
    <col min="1" max="1" width="34.5703125" style="204" bestFit="1" customWidth="1"/>
    <col min="2" max="2" width="17.42578125" style="204" bestFit="1" customWidth="1"/>
    <col min="3" max="3" width="6.7109375" style="204" customWidth="1"/>
    <col min="4" max="4" width="6.28515625" style="205" customWidth="1"/>
    <col min="5" max="5" width="9.28515625" style="206" bestFit="1" customWidth="1"/>
    <col min="6" max="6" width="14.85546875" style="204" bestFit="1" customWidth="1"/>
    <col min="7" max="8" width="11.5703125" style="88" bestFit="1" customWidth="1"/>
    <col min="9" max="9" width="12.140625" style="88" bestFit="1" customWidth="1"/>
    <col min="10" max="10" width="13.5703125" style="204" bestFit="1" customWidth="1"/>
    <col min="11" max="12" width="14.85546875" style="204" bestFit="1" customWidth="1"/>
    <col min="13" max="13" width="9.140625" style="204"/>
    <col min="14" max="14" width="23" style="204" bestFit="1" customWidth="1"/>
    <col min="15" max="16384" width="9.140625" style="204"/>
  </cols>
  <sheetData>
    <row r="2" spans="1:15" ht="45" x14ac:dyDescent="0.25">
      <c r="D2" s="207"/>
      <c r="E2" s="208" t="s">
        <v>287</v>
      </c>
      <c r="F2" s="207" t="s">
        <v>184</v>
      </c>
      <c r="G2" s="209" t="s">
        <v>288</v>
      </c>
      <c r="H2" s="209" t="s">
        <v>289</v>
      </c>
      <c r="I2" s="209" t="s">
        <v>290</v>
      </c>
      <c r="J2" s="207" t="s">
        <v>291</v>
      </c>
      <c r="K2" s="207" t="s">
        <v>292</v>
      </c>
      <c r="L2" s="207" t="s">
        <v>183</v>
      </c>
    </row>
    <row r="3" spans="1:15" x14ac:dyDescent="0.25">
      <c r="A3" s="204" t="s">
        <v>293</v>
      </c>
      <c r="B3" s="210">
        <v>1.49E-2</v>
      </c>
      <c r="D3" s="205">
        <v>1</v>
      </c>
      <c r="E3" s="206">
        <v>41039</v>
      </c>
      <c r="F3" s="211">
        <f>$B$9</f>
        <v>9150000</v>
      </c>
      <c r="G3" s="212">
        <f>$B$12</f>
        <v>47730.73</v>
      </c>
      <c r="H3" s="212">
        <f>$G3-$I3</f>
        <v>11511.980000000003</v>
      </c>
      <c r="I3" s="88">
        <f>ROUND($F3*($B$10/12), 2)</f>
        <v>36218.75</v>
      </c>
      <c r="J3" s="212">
        <f>H3</f>
        <v>11511.980000000003</v>
      </c>
      <c r="K3" s="88">
        <f>I3</f>
        <v>36218.75</v>
      </c>
      <c r="L3" s="211">
        <f>$F3-$H3</f>
        <v>9138488.0199999996</v>
      </c>
      <c r="N3" s="121" t="s">
        <v>557</v>
      </c>
    </row>
    <row r="4" spans="1:15" x14ac:dyDescent="0.25">
      <c r="A4" s="204" t="s">
        <v>558</v>
      </c>
      <c r="B4" s="210">
        <v>2.1999999999999999E-2</v>
      </c>
      <c r="D4" s="205">
        <v>2</v>
      </c>
      <c r="E4" s="206">
        <v>41070</v>
      </c>
      <c r="F4" s="211">
        <f>L3</f>
        <v>9138488.0199999996</v>
      </c>
      <c r="G4" s="212">
        <f t="shared" ref="G4:G67" si="0">$B$12</f>
        <v>47730.73</v>
      </c>
      <c r="H4" s="212">
        <f t="shared" ref="H4:H67" si="1">$G4-$I4</f>
        <v>11557.550000000003</v>
      </c>
      <c r="I4" s="88">
        <f t="shared" ref="I4:I67" si="2">ROUND($F4*($B$10/12), 2)</f>
        <v>36173.18</v>
      </c>
      <c r="J4" s="213">
        <f>H3+J3</f>
        <v>23023.960000000006</v>
      </c>
      <c r="K4" s="211">
        <f>$I4+$K3</f>
        <v>72391.929999999993</v>
      </c>
      <c r="L4" s="211">
        <f t="shared" ref="L4:L67" si="3">$F4-$H4</f>
        <v>9126930.4699999988</v>
      </c>
      <c r="N4" s="204" t="s">
        <v>559</v>
      </c>
      <c r="O4" s="214">
        <f>'[2]Base Rent 2016'!C8</f>
        <v>1200</v>
      </c>
    </row>
    <row r="5" spans="1:15" x14ac:dyDescent="0.25">
      <c r="A5" s="204" t="s">
        <v>278</v>
      </c>
      <c r="B5" s="88">
        <v>360000</v>
      </c>
      <c r="D5" s="205">
        <v>3</v>
      </c>
      <c r="E5" s="206">
        <v>41100</v>
      </c>
      <c r="F5" s="211">
        <f t="shared" ref="F5:F62" si="4">L4</f>
        <v>9126930.4699999988</v>
      </c>
      <c r="G5" s="212">
        <f t="shared" si="0"/>
        <v>47730.73</v>
      </c>
      <c r="H5" s="212">
        <f t="shared" si="1"/>
        <v>11603.300000000003</v>
      </c>
      <c r="I5" s="88">
        <f t="shared" si="2"/>
        <v>36127.43</v>
      </c>
      <c r="J5" s="213">
        <f t="shared" ref="J5:J62" si="5">H4+J4</f>
        <v>34581.510000000009</v>
      </c>
      <c r="K5" s="211">
        <f t="shared" ref="K5:K68" si="6">$I5+$K4</f>
        <v>108519.35999999999</v>
      </c>
      <c r="L5" s="211">
        <f t="shared" si="3"/>
        <v>9115327.1699999981</v>
      </c>
      <c r="N5" s="204" t="s">
        <v>560</v>
      </c>
      <c r="O5" s="88">
        <v>45</v>
      </c>
    </row>
    <row r="6" spans="1:15" x14ac:dyDescent="0.25">
      <c r="D6" s="205">
        <v>4</v>
      </c>
      <c r="E6" s="206">
        <v>41131</v>
      </c>
      <c r="F6" s="211">
        <f t="shared" si="4"/>
        <v>9115327.1699999981</v>
      </c>
      <c r="G6" s="212">
        <f t="shared" si="0"/>
        <v>47730.73</v>
      </c>
      <c r="H6" s="212">
        <f t="shared" si="1"/>
        <v>11649.230000000003</v>
      </c>
      <c r="I6" s="88">
        <f t="shared" si="2"/>
        <v>36081.5</v>
      </c>
      <c r="J6" s="213">
        <f t="shared" si="5"/>
        <v>46184.810000000012</v>
      </c>
      <c r="K6" s="211">
        <f t="shared" si="6"/>
        <v>144600.85999999999</v>
      </c>
      <c r="L6" s="211">
        <f t="shared" si="3"/>
        <v>9103677.9399999976</v>
      </c>
    </row>
    <row r="7" spans="1:15" x14ac:dyDescent="0.25">
      <c r="D7" s="205">
        <v>5</v>
      </c>
      <c r="E7" s="206">
        <v>41162</v>
      </c>
      <c r="F7" s="211">
        <f t="shared" si="4"/>
        <v>9103677.9399999976</v>
      </c>
      <c r="G7" s="212">
        <f t="shared" si="0"/>
        <v>47730.73</v>
      </c>
      <c r="H7" s="212">
        <f t="shared" si="1"/>
        <v>11695.340000000004</v>
      </c>
      <c r="I7" s="88">
        <f t="shared" si="2"/>
        <v>36035.39</v>
      </c>
      <c r="J7" s="213">
        <f t="shared" si="5"/>
        <v>57834.040000000015</v>
      </c>
      <c r="K7" s="211">
        <f t="shared" si="6"/>
        <v>180636.25</v>
      </c>
      <c r="L7" s="211">
        <f t="shared" si="3"/>
        <v>9091982.5999999978</v>
      </c>
      <c r="N7" s="204" t="s">
        <v>561</v>
      </c>
      <c r="O7" s="103">
        <f>(O$4*O$5)/4</f>
        <v>13500</v>
      </c>
    </row>
    <row r="8" spans="1:15" x14ac:dyDescent="0.25">
      <c r="D8" s="205">
        <v>6</v>
      </c>
      <c r="E8" s="206">
        <v>41192</v>
      </c>
      <c r="F8" s="211">
        <f t="shared" si="4"/>
        <v>9091982.5999999978</v>
      </c>
      <c r="G8" s="212">
        <f t="shared" si="0"/>
        <v>47730.73</v>
      </c>
      <c r="H8" s="212">
        <f t="shared" si="1"/>
        <v>11741.630000000005</v>
      </c>
      <c r="I8" s="88">
        <f t="shared" si="2"/>
        <v>35989.1</v>
      </c>
      <c r="J8" s="213">
        <f t="shared" si="5"/>
        <v>69529.380000000019</v>
      </c>
      <c r="K8" s="211">
        <f t="shared" si="6"/>
        <v>216625.35</v>
      </c>
      <c r="L8" s="211">
        <f t="shared" si="3"/>
        <v>9080240.9699999969</v>
      </c>
      <c r="N8" s="204" t="s">
        <v>562</v>
      </c>
      <c r="O8" s="103">
        <f t="shared" ref="O8:O10" si="7">(O$4*O$5)/4</f>
        <v>13500</v>
      </c>
    </row>
    <row r="9" spans="1:15" x14ac:dyDescent="0.25">
      <c r="A9" s="206" t="s">
        <v>299</v>
      </c>
      <c r="B9" s="88">
        <v>9150000</v>
      </c>
      <c r="D9" s="205">
        <v>7</v>
      </c>
      <c r="E9" s="206">
        <v>41223</v>
      </c>
      <c r="F9" s="211">
        <f t="shared" si="4"/>
        <v>9080240.9699999969</v>
      </c>
      <c r="G9" s="212">
        <f t="shared" si="0"/>
        <v>47730.73</v>
      </c>
      <c r="H9" s="212">
        <f t="shared" si="1"/>
        <v>11788.11</v>
      </c>
      <c r="I9" s="88">
        <f t="shared" si="2"/>
        <v>35942.620000000003</v>
      </c>
      <c r="J9" s="213">
        <f t="shared" si="5"/>
        <v>81271.010000000024</v>
      </c>
      <c r="K9" s="211">
        <f t="shared" si="6"/>
        <v>252567.97</v>
      </c>
      <c r="L9" s="211">
        <f t="shared" si="3"/>
        <v>9068452.8599999975</v>
      </c>
      <c r="N9" s="204" t="s">
        <v>563</v>
      </c>
      <c r="O9" s="103">
        <f t="shared" si="7"/>
        <v>13500</v>
      </c>
    </row>
    <row r="10" spans="1:15" x14ac:dyDescent="0.25">
      <c r="A10" s="206" t="s">
        <v>300</v>
      </c>
      <c r="B10" s="210">
        <v>4.7500000000000001E-2</v>
      </c>
      <c r="D10" s="205">
        <v>8</v>
      </c>
      <c r="E10" s="206">
        <v>41253</v>
      </c>
      <c r="F10" s="211">
        <f t="shared" si="4"/>
        <v>9068452.8599999975</v>
      </c>
      <c r="G10" s="212">
        <f t="shared" si="0"/>
        <v>47730.73</v>
      </c>
      <c r="H10" s="212">
        <f t="shared" si="1"/>
        <v>11834.770000000004</v>
      </c>
      <c r="I10" s="88">
        <f t="shared" si="2"/>
        <v>35895.96</v>
      </c>
      <c r="J10" s="213">
        <f t="shared" si="5"/>
        <v>93059.120000000024</v>
      </c>
      <c r="K10" s="211">
        <f t="shared" si="6"/>
        <v>288463.93</v>
      </c>
      <c r="L10" s="211">
        <f t="shared" si="3"/>
        <v>9056618.089999998</v>
      </c>
      <c r="N10" s="204" t="s">
        <v>564</v>
      </c>
      <c r="O10" s="103">
        <f t="shared" si="7"/>
        <v>13500</v>
      </c>
    </row>
    <row r="11" spans="1:15" x14ac:dyDescent="0.25">
      <c r="A11" s="206" t="s">
        <v>307</v>
      </c>
      <c r="B11" s="204">
        <v>360</v>
      </c>
      <c r="D11" s="205">
        <v>9</v>
      </c>
      <c r="E11" s="206">
        <v>41284</v>
      </c>
      <c r="F11" s="211">
        <f t="shared" si="4"/>
        <v>9056618.089999998</v>
      </c>
      <c r="G11" s="212">
        <f t="shared" si="0"/>
        <v>47730.73</v>
      </c>
      <c r="H11" s="212">
        <f t="shared" si="1"/>
        <v>11881.620000000003</v>
      </c>
      <c r="I11" s="88">
        <f t="shared" si="2"/>
        <v>35849.11</v>
      </c>
      <c r="J11" s="213">
        <f t="shared" si="5"/>
        <v>104893.89000000003</v>
      </c>
      <c r="K11" s="211">
        <f t="shared" si="6"/>
        <v>324313.03999999998</v>
      </c>
      <c r="L11" s="211">
        <f t="shared" si="3"/>
        <v>9044736.4699999988</v>
      </c>
    </row>
    <row r="12" spans="1:15" x14ac:dyDescent="0.25">
      <c r="A12" s="206" t="s">
        <v>303</v>
      </c>
      <c r="B12" s="213">
        <f>ROUND(PMT($B$10/12,$B$11,-$B$9,0), 2)</f>
        <v>47730.73</v>
      </c>
      <c r="D12" s="205">
        <v>10</v>
      </c>
      <c r="E12" s="206">
        <v>41315</v>
      </c>
      <c r="F12" s="211">
        <f t="shared" si="4"/>
        <v>9044736.4699999988</v>
      </c>
      <c r="G12" s="212">
        <f t="shared" si="0"/>
        <v>47730.73</v>
      </c>
      <c r="H12" s="212">
        <f t="shared" si="1"/>
        <v>11928.650000000001</v>
      </c>
      <c r="I12" s="88">
        <f t="shared" si="2"/>
        <v>35802.080000000002</v>
      </c>
      <c r="J12" s="213">
        <f t="shared" si="5"/>
        <v>116775.51000000004</v>
      </c>
      <c r="K12" s="211">
        <f t="shared" si="6"/>
        <v>360115.12</v>
      </c>
      <c r="L12" s="211">
        <f t="shared" si="3"/>
        <v>9032807.8199999984</v>
      </c>
    </row>
    <row r="13" spans="1:15" x14ac:dyDescent="0.25">
      <c r="D13" s="205">
        <v>11</v>
      </c>
      <c r="E13" s="206">
        <v>41343</v>
      </c>
      <c r="F13" s="211">
        <f t="shared" si="4"/>
        <v>9032807.8199999984</v>
      </c>
      <c r="G13" s="212">
        <f t="shared" si="0"/>
        <v>47730.73</v>
      </c>
      <c r="H13" s="212">
        <f t="shared" si="1"/>
        <v>11975.870000000003</v>
      </c>
      <c r="I13" s="88">
        <f t="shared" si="2"/>
        <v>35754.86</v>
      </c>
      <c r="J13" s="213">
        <f t="shared" si="5"/>
        <v>128704.16000000003</v>
      </c>
      <c r="K13" s="211">
        <f t="shared" si="6"/>
        <v>395869.98</v>
      </c>
      <c r="L13" s="211">
        <f t="shared" si="3"/>
        <v>9020831.9499999993</v>
      </c>
      <c r="N13" s="121" t="s">
        <v>565</v>
      </c>
    </row>
    <row r="14" spans="1:15" x14ac:dyDescent="0.25">
      <c r="D14" s="205">
        <v>12</v>
      </c>
      <c r="E14" s="206">
        <v>41374</v>
      </c>
      <c r="F14" s="211">
        <f t="shared" si="4"/>
        <v>9020831.9499999993</v>
      </c>
      <c r="G14" s="212">
        <f t="shared" si="0"/>
        <v>47730.73</v>
      </c>
      <c r="H14" s="212">
        <f t="shared" si="1"/>
        <v>12023.270000000004</v>
      </c>
      <c r="I14" s="88">
        <f t="shared" si="2"/>
        <v>35707.46</v>
      </c>
      <c r="J14" s="213">
        <f t="shared" si="5"/>
        <v>140680.03000000003</v>
      </c>
      <c r="K14" s="211">
        <f t="shared" si="6"/>
        <v>431577.44</v>
      </c>
      <c r="L14" s="211">
        <f t="shared" si="3"/>
        <v>9008808.6799999997</v>
      </c>
      <c r="N14" s="204" t="s">
        <v>559</v>
      </c>
      <c r="O14" s="214">
        <f>'[2]Base Rent 2016'!C9</f>
        <v>2500</v>
      </c>
    </row>
    <row r="15" spans="1:15" x14ac:dyDescent="0.25">
      <c r="B15" s="213"/>
      <c r="D15" s="205">
        <v>13</v>
      </c>
      <c r="E15" s="206">
        <v>41404</v>
      </c>
      <c r="F15" s="211">
        <f t="shared" si="4"/>
        <v>9008808.6799999997</v>
      </c>
      <c r="G15" s="212">
        <f t="shared" si="0"/>
        <v>47730.73</v>
      </c>
      <c r="H15" s="212">
        <f t="shared" si="1"/>
        <v>12070.86</v>
      </c>
      <c r="I15" s="88">
        <f t="shared" si="2"/>
        <v>35659.870000000003</v>
      </c>
      <c r="J15" s="213">
        <f t="shared" si="5"/>
        <v>152703.30000000005</v>
      </c>
      <c r="K15" s="211">
        <f t="shared" si="6"/>
        <v>467237.31</v>
      </c>
      <c r="L15" s="211">
        <f t="shared" si="3"/>
        <v>8996737.8200000003</v>
      </c>
      <c r="N15" s="204" t="s">
        <v>560</v>
      </c>
      <c r="O15" s="88">
        <v>50</v>
      </c>
    </row>
    <row r="16" spans="1:15" x14ac:dyDescent="0.25">
      <c r="D16" s="205">
        <v>14</v>
      </c>
      <c r="E16" s="206">
        <v>41435</v>
      </c>
      <c r="F16" s="211">
        <f t="shared" si="4"/>
        <v>8996737.8200000003</v>
      </c>
      <c r="G16" s="212">
        <f t="shared" si="0"/>
        <v>47730.73</v>
      </c>
      <c r="H16" s="212">
        <f t="shared" si="1"/>
        <v>12118.640000000007</v>
      </c>
      <c r="I16" s="88">
        <f t="shared" si="2"/>
        <v>35612.089999999997</v>
      </c>
      <c r="J16" s="213">
        <f t="shared" si="5"/>
        <v>164774.16000000003</v>
      </c>
      <c r="K16" s="211">
        <f t="shared" si="6"/>
        <v>502849.4</v>
      </c>
      <c r="L16" s="211">
        <f t="shared" si="3"/>
        <v>8984619.1799999997</v>
      </c>
      <c r="O16" s="88"/>
    </row>
    <row r="17" spans="4:15" x14ac:dyDescent="0.25">
      <c r="D17" s="205">
        <v>15</v>
      </c>
      <c r="E17" s="206">
        <v>41465</v>
      </c>
      <c r="F17" s="211">
        <f t="shared" si="4"/>
        <v>8984619.1799999997</v>
      </c>
      <c r="G17" s="212">
        <f t="shared" si="0"/>
        <v>47730.73</v>
      </c>
      <c r="H17" s="212">
        <f t="shared" si="1"/>
        <v>12166.61</v>
      </c>
      <c r="I17" s="88">
        <f t="shared" si="2"/>
        <v>35564.120000000003</v>
      </c>
      <c r="J17" s="213">
        <f t="shared" si="5"/>
        <v>176892.80000000005</v>
      </c>
      <c r="K17" s="211">
        <f t="shared" si="6"/>
        <v>538413.52</v>
      </c>
      <c r="L17" s="211">
        <f t="shared" si="3"/>
        <v>8972452.5700000003</v>
      </c>
      <c r="N17" s="204" t="s">
        <v>561</v>
      </c>
      <c r="O17" s="103">
        <f>(O$14*O$15)/4</f>
        <v>31250</v>
      </c>
    </row>
    <row r="18" spans="4:15" x14ac:dyDescent="0.25">
      <c r="D18" s="205">
        <v>16</v>
      </c>
      <c r="E18" s="206">
        <v>41496</v>
      </c>
      <c r="F18" s="211">
        <f t="shared" si="4"/>
        <v>8972452.5700000003</v>
      </c>
      <c r="G18" s="212">
        <f t="shared" si="0"/>
        <v>47730.73</v>
      </c>
      <c r="H18" s="212">
        <f t="shared" si="1"/>
        <v>12214.770000000004</v>
      </c>
      <c r="I18" s="88">
        <f t="shared" si="2"/>
        <v>35515.96</v>
      </c>
      <c r="J18" s="213">
        <f t="shared" si="5"/>
        <v>189059.41000000003</v>
      </c>
      <c r="K18" s="211">
        <f t="shared" si="6"/>
        <v>573929.48</v>
      </c>
      <c r="L18" s="211">
        <f t="shared" si="3"/>
        <v>8960237.8000000007</v>
      </c>
      <c r="N18" s="204" t="s">
        <v>562</v>
      </c>
      <c r="O18" s="103">
        <f t="shared" ref="O18:O20" si="8">(O$14*O$15)/4</f>
        <v>31250</v>
      </c>
    </row>
    <row r="19" spans="4:15" x14ac:dyDescent="0.25">
      <c r="D19" s="205">
        <v>17</v>
      </c>
      <c r="E19" s="206">
        <v>41527</v>
      </c>
      <c r="F19" s="211">
        <f t="shared" si="4"/>
        <v>8960237.8000000007</v>
      </c>
      <c r="G19" s="212">
        <f t="shared" si="0"/>
        <v>47730.73</v>
      </c>
      <c r="H19" s="212">
        <f t="shared" si="1"/>
        <v>12263.120000000003</v>
      </c>
      <c r="I19" s="88">
        <f t="shared" si="2"/>
        <v>35467.61</v>
      </c>
      <c r="J19" s="213">
        <f t="shared" si="5"/>
        <v>201274.18000000005</v>
      </c>
      <c r="K19" s="211">
        <f t="shared" si="6"/>
        <v>609397.09</v>
      </c>
      <c r="L19" s="211">
        <f t="shared" si="3"/>
        <v>8947974.6800000016</v>
      </c>
      <c r="N19" s="204" t="s">
        <v>563</v>
      </c>
      <c r="O19" s="103">
        <f t="shared" si="8"/>
        <v>31250</v>
      </c>
    </row>
    <row r="20" spans="4:15" x14ac:dyDescent="0.25">
      <c r="D20" s="205">
        <v>18</v>
      </c>
      <c r="E20" s="206">
        <v>41557</v>
      </c>
      <c r="F20" s="211">
        <f t="shared" si="4"/>
        <v>8947974.6800000016</v>
      </c>
      <c r="G20" s="212">
        <f t="shared" si="0"/>
        <v>47730.73</v>
      </c>
      <c r="H20" s="212">
        <f t="shared" si="1"/>
        <v>12311.660000000003</v>
      </c>
      <c r="I20" s="88">
        <f t="shared" si="2"/>
        <v>35419.07</v>
      </c>
      <c r="J20" s="213">
        <f t="shared" si="5"/>
        <v>213537.30000000005</v>
      </c>
      <c r="K20" s="211">
        <f t="shared" si="6"/>
        <v>644816.15999999992</v>
      </c>
      <c r="L20" s="211">
        <f t="shared" si="3"/>
        <v>8935663.0200000014</v>
      </c>
      <c r="N20" s="204" t="s">
        <v>564</v>
      </c>
      <c r="O20" s="103">
        <f t="shared" si="8"/>
        <v>31250</v>
      </c>
    </row>
    <row r="21" spans="4:15" x14ac:dyDescent="0.25">
      <c r="D21" s="205">
        <v>19</v>
      </c>
      <c r="E21" s="206">
        <v>41588</v>
      </c>
      <c r="F21" s="211">
        <f t="shared" si="4"/>
        <v>8935663.0200000014</v>
      </c>
      <c r="G21" s="212">
        <f t="shared" si="0"/>
        <v>47730.73</v>
      </c>
      <c r="H21" s="212">
        <f t="shared" si="1"/>
        <v>12360.400000000001</v>
      </c>
      <c r="I21" s="88">
        <f t="shared" si="2"/>
        <v>35370.33</v>
      </c>
      <c r="J21" s="213">
        <f t="shared" si="5"/>
        <v>225848.96000000005</v>
      </c>
      <c r="K21" s="211">
        <f t="shared" si="6"/>
        <v>680186.48999999987</v>
      </c>
      <c r="L21" s="211">
        <f t="shared" si="3"/>
        <v>8923302.620000001</v>
      </c>
      <c r="O21" s="103"/>
    </row>
    <row r="22" spans="4:15" x14ac:dyDescent="0.25">
      <c r="D22" s="205">
        <v>20</v>
      </c>
      <c r="E22" s="206">
        <v>41618</v>
      </c>
      <c r="F22" s="211">
        <f t="shared" si="4"/>
        <v>8923302.620000001</v>
      </c>
      <c r="G22" s="212">
        <f t="shared" si="0"/>
        <v>47730.73</v>
      </c>
      <c r="H22" s="212">
        <f t="shared" si="1"/>
        <v>12409.32</v>
      </c>
      <c r="I22" s="88">
        <f t="shared" si="2"/>
        <v>35321.410000000003</v>
      </c>
      <c r="J22" s="213">
        <f t="shared" si="5"/>
        <v>238209.36000000004</v>
      </c>
      <c r="K22" s="211">
        <f t="shared" si="6"/>
        <v>715507.89999999991</v>
      </c>
      <c r="L22" s="211">
        <f t="shared" si="3"/>
        <v>8910893.3000000007</v>
      </c>
    </row>
    <row r="23" spans="4:15" x14ac:dyDescent="0.25">
      <c r="D23" s="205">
        <v>21</v>
      </c>
      <c r="E23" s="206">
        <v>41649</v>
      </c>
      <c r="F23" s="211">
        <f t="shared" si="4"/>
        <v>8910893.3000000007</v>
      </c>
      <c r="G23" s="212">
        <f t="shared" si="0"/>
        <v>47730.73</v>
      </c>
      <c r="H23" s="212">
        <f t="shared" si="1"/>
        <v>12458.440000000002</v>
      </c>
      <c r="I23" s="88">
        <f t="shared" si="2"/>
        <v>35272.29</v>
      </c>
      <c r="J23" s="213">
        <f t="shared" si="5"/>
        <v>250618.68000000005</v>
      </c>
      <c r="K23" s="211">
        <f t="shared" si="6"/>
        <v>750780.19</v>
      </c>
      <c r="L23" s="211">
        <f t="shared" si="3"/>
        <v>8898434.8600000013</v>
      </c>
      <c r="N23" s="121" t="s">
        <v>566</v>
      </c>
    </row>
    <row r="24" spans="4:15" x14ac:dyDescent="0.25">
      <c r="D24" s="205">
        <v>22</v>
      </c>
      <c r="E24" s="206">
        <v>41680</v>
      </c>
      <c r="F24" s="211">
        <f t="shared" si="4"/>
        <v>8898434.8600000013</v>
      </c>
      <c r="G24" s="212">
        <f t="shared" si="0"/>
        <v>47730.73</v>
      </c>
      <c r="H24" s="212">
        <f t="shared" si="1"/>
        <v>12507.760000000002</v>
      </c>
      <c r="I24" s="88">
        <f t="shared" si="2"/>
        <v>35222.97</v>
      </c>
      <c r="J24" s="213">
        <f t="shared" si="5"/>
        <v>263077.12000000005</v>
      </c>
      <c r="K24" s="211">
        <f t="shared" si="6"/>
        <v>786003.15999999992</v>
      </c>
      <c r="L24" s="211">
        <f t="shared" si="3"/>
        <v>8885927.1000000015</v>
      </c>
      <c r="N24" s="204" t="s">
        <v>559</v>
      </c>
      <c r="O24" s="214">
        <f xml:space="preserve"> '[2]Base Rent 2016'!C10</f>
        <v>1657</v>
      </c>
    </row>
    <row r="25" spans="4:15" x14ac:dyDescent="0.25">
      <c r="D25" s="205">
        <v>23</v>
      </c>
      <c r="E25" s="206">
        <v>41708</v>
      </c>
      <c r="F25" s="211">
        <f t="shared" si="4"/>
        <v>8885927.1000000015</v>
      </c>
      <c r="G25" s="212">
        <f t="shared" si="0"/>
        <v>47730.73</v>
      </c>
      <c r="H25" s="212">
        <f t="shared" si="1"/>
        <v>12557.270000000004</v>
      </c>
      <c r="I25" s="88">
        <f t="shared" si="2"/>
        <v>35173.46</v>
      </c>
      <c r="J25" s="213">
        <f t="shared" si="5"/>
        <v>275584.88000000006</v>
      </c>
      <c r="K25" s="211">
        <f t="shared" si="6"/>
        <v>821176.61999999988</v>
      </c>
      <c r="L25" s="211">
        <f t="shared" si="3"/>
        <v>8873369.8300000019</v>
      </c>
      <c r="N25" s="204" t="s">
        <v>560</v>
      </c>
      <c r="O25" s="88">
        <v>25</v>
      </c>
    </row>
    <row r="26" spans="4:15" x14ac:dyDescent="0.25">
      <c r="D26" s="205">
        <v>24</v>
      </c>
      <c r="E26" s="206">
        <v>41739</v>
      </c>
      <c r="F26" s="211">
        <f t="shared" si="4"/>
        <v>8873369.8300000019</v>
      </c>
      <c r="G26" s="212">
        <f t="shared" si="0"/>
        <v>47730.73</v>
      </c>
      <c r="H26" s="212">
        <f t="shared" si="1"/>
        <v>12606.970000000001</v>
      </c>
      <c r="I26" s="88">
        <f t="shared" si="2"/>
        <v>35123.760000000002</v>
      </c>
      <c r="J26" s="213">
        <f t="shared" si="5"/>
        <v>288142.15000000008</v>
      </c>
      <c r="K26" s="211">
        <f t="shared" si="6"/>
        <v>856300.37999999989</v>
      </c>
      <c r="L26" s="211">
        <f t="shared" si="3"/>
        <v>8860762.8600000013</v>
      </c>
    </row>
    <row r="27" spans="4:15" x14ac:dyDescent="0.25">
      <c r="D27" s="205">
        <v>25</v>
      </c>
      <c r="E27" s="206">
        <v>41769</v>
      </c>
      <c r="F27" s="211">
        <f t="shared" si="4"/>
        <v>8860762.8600000013</v>
      </c>
      <c r="G27" s="212">
        <f t="shared" si="0"/>
        <v>47730.73</v>
      </c>
      <c r="H27" s="212">
        <f t="shared" si="1"/>
        <v>12656.880000000005</v>
      </c>
      <c r="I27" s="88">
        <f t="shared" si="2"/>
        <v>35073.85</v>
      </c>
      <c r="J27" s="213">
        <f t="shared" si="5"/>
        <v>300749.12000000011</v>
      </c>
      <c r="K27" s="211">
        <f t="shared" si="6"/>
        <v>891374.22999999986</v>
      </c>
      <c r="L27" s="211">
        <f t="shared" si="3"/>
        <v>8848105.9800000004</v>
      </c>
      <c r="N27" s="204" t="s">
        <v>561</v>
      </c>
      <c r="O27" s="103">
        <f>(O$24*O$25)/4</f>
        <v>10356.25</v>
      </c>
    </row>
    <row r="28" spans="4:15" x14ac:dyDescent="0.25">
      <c r="D28" s="215">
        <v>26</v>
      </c>
      <c r="E28" s="206">
        <v>41800</v>
      </c>
      <c r="F28" s="211">
        <f t="shared" si="4"/>
        <v>8848105.9800000004</v>
      </c>
      <c r="G28" s="212">
        <f t="shared" si="0"/>
        <v>47730.73</v>
      </c>
      <c r="H28" s="212">
        <f t="shared" si="1"/>
        <v>12706.980000000003</v>
      </c>
      <c r="I28" s="88">
        <f t="shared" si="2"/>
        <v>35023.75</v>
      </c>
      <c r="J28" s="213">
        <f t="shared" si="5"/>
        <v>313406.00000000012</v>
      </c>
      <c r="K28" s="211">
        <f t="shared" si="6"/>
        <v>926397.97999999986</v>
      </c>
      <c r="L28" s="211">
        <f t="shared" si="3"/>
        <v>8835399</v>
      </c>
      <c r="N28" s="204" t="s">
        <v>562</v>
      </c>
      <c r="O28" s="103">
        <f t="shared" ref="O28:O30" si="9">(O$24*O$25)/4</f>
        <v>10356.25</v>
      </c>
    </row>
    <row r="29" spans="4:15" x14ac:dyDescent="0.25">
      <c r="D29" s="205">
        <v>27</v>
      </c>
      <c r="E29" s="206">
        <v>41830</v>
      </c>
      <c r="F29" s="211">
        <f t="shared" si="4"/>
        <v>8835399</v>
      </c>
      <c r="G29" s="212">
        <f t="shared" si="0"/>
        <v>47730.73</v>
      </c>
      <c r="H29" s="212">
        <f t="shared" si="1"/>
        <v>12757.280000000006</v>
      </c>
      <c r="I29" s="88">
        <f t="shared" si="2"/>
        <v>34973.449999999997</v>
      </c>
      <c r="J29" s="213">
        <f t="shared" si="5"/>
        <v>326112.9800000001</v>
      </c>
      <c r="K29" s="211">
        <f t="shared" si="6"/>
        <v>961371.42999999982</v>
      </c>
      <c r="L29" s="211">
        <f t="shared" si="3"/>
        <v>8822641.7200000007</v>
      </c>
      <c r="N29" s="204" t="s">
        <v>563</v>
      </c>
      <c r="O29" s="103">
        <f t="shared" si="9"/>
        <v>10356.25</v>
      </c>
    </row>
    <row r="30" spans="4:15" x14ac:dyDescent="0.25">
      <c r="D30" s="205">
        <v>28</v>
      </c>
      <c r="E30" s="206">
        <v>41861</v>
      </c>
      <c r="F30" s="211">
        <f t="shared" si="4"/>
        <v>8822641.7200000007</v>
      </c>
      <c r="G30" s="212">
        <f t="shared" si="0"/>
        <v>47730.73</v>
      </c>
      <c r="H30" s="212">
        <f t="shared" si="1"/>
        <v>12807.770000000004</v>
      </c>
      <c r="I30" s="88">
        <f t="shared" si="2"/>
        <v>34922.959999999999</v>
      </c>
      <c r="J30" s="213">
        <f t="shared" si="5"/>
        <v>338870.26000000013</v>
      </c>
      <c r="K30" s="211">
        <f t="shared" si="6"/>
        <v>996294.38999999978</v>
      </c>
      <c r="L30" s="211">
        <f t="shared" si="3"/>
        <v>8809833.9500000011</v>
      </c>
      <c r="N30" s="204" t="s">
        <v>564</v>
      </c>
      <c r="O30" s="103">
        <f t="shared" si="9"/>
        <v>10356.25</v>
      </c>
    </row>
    <row r="31" spans="4:15" x14ac:dyDescent="0.25">
      <c r="D31" s="205">
        <v>29</v>
      </c>
      <c r="E31" s="206">
        <v>41892</v>
      </c>
      <c r="F31" s="211">
        <f t="shared" si="4"/>
        <v>8809833.9500000011</v>
      </c>
      <c r="G31" s="212">
        <f t="shared" si="0"/>
        <v>47730.73</v>
      </c>
      <c r="H31" s="212">
        <f t="shared" si="1"/>
        <v>12858.470000000001</v>
      </c>
      <c r="I31" s="88">
        <f t="shared" si="2"/>
        <v>34872.26</v>
      </c>
      <c r="J31" s="213">
        <f t="shared" si="5"/>
        <v>351678.03000000014</v>
      </c>
      <c r="K31" s="211">
        <f t="shared" si="6"/>
        <v>1031166.6499999998</v>
      </c>
      <c r="L31" s="211">
        <f t="shared" si="3"/>
        <v>8796975.4800000004</v>
      </c>
    </row>
    <row r="32" spans="4:15" x14ac:dyDescent="0.25">
      <c r="D32" s="205">
        <v>30</v>
      </c>
      <c r="E32" s="206">
        <v>41922</v>
      </c>
      <c r="F32" s="211">
        <f t="shared" si="4"/>
        <v>8796975.4800000004</v>
      </c>
      <c r="G32" s="212">
        <f t="shared" si="0"/>
        <v>47730.73</v>
      </c>
      <c r="H32" s="212">
        <f t="shared" si="1"/>
        <v>12909.370000000003</v>
      </c>
      <c r="I32" s="88">
        <f t="shared" si="2"/>
        <v>34821.360000000001</v>
      </c>
      <c r="J32" s="213">
        <f t="shared" si="5"/>
        <v>364536.50000000012</v>
      </c>
      <c r="K32" s="211">
        <f t="shared" si="6"/>
        <v>1065988.0099999998</v>
      </c>
      <c r="L32" s="211">
        <f t="shared" si="3"/>
        <v>8784066.1100000013</v>
      </c>
    </row>
    <row r="33" spans="4:15" x14ac:dyDescent="0.25">
      <c r="D33" s="205">
        <v>31</v>
      </c>
      <c r="E33" s="206">
        <v>41953</v>
      </c>
      <c r="F33" s="211">
        <f t="shared" si="4"/>
        <v>8784066.1100000013</v>
      </c>
      <c r="G33" s="212">
        <f t="shared" si="0"/>
        <v>47730.73</v>
      </c>
      <c r="H33" s="212">
        <f t="shared" si="1"/>
        <v>12960.470000000001</v>
      </c>
      <c r="I33" s="88">
        <f t="shared" si="2"/>
        <v>34770.26</v>
      </c>
      <c r="J33" s="213">
        <f t="shared" si="5"/>
        <v>377445.87000000011</v>
      </c>
      <c r="K33" s="211">
        <f t="shared" si="6"/>
        <v>1100758.2699999998</v>
      </c>
      <c r="L33" s="211">
        <f t="shared" si="3"/>
        <v>8771105.6400000006</v>
      </c>
      <c r="N33" s="121" t="s">
        <v>567</v>
      </c>
    </row>
    <row r="34" spans="4:15" x14ac:dyDescent="0.25">
      <c r="D34" s="205">
        <v>32</v>
      </c>
      <c r="E34" s="206">
        <v>41983</v>
      </c>
      <c r="F34" s="211">
        <f t="shared" si="4"/>
        <v>8771105.6400000006</v>
      </c>
      <c r="G34" s="212">
        <f t="shared" si="0"/>
        <v>47730.73</v>
      </c>
      <c r="H34" s="212">
        <f t="shared" si="1"/>
        <v>13011.770000000004</v>
      </c>
      <c r="I34" s="88">
        <f t="shared" si="2"/>
        <v>34718.959999999999</v>
      </c>
      <c r="J34" s="213">
        <f t="shared" si="5"/>
        <v>390406.34000000008</v>
      </c>
      <c r="K34" s="211">
        <f t="shared" si="6"/>
        <v>1135477.2299999997</v>
      </c>
      <c r="L34" s="211">
        <f t="shared" si="3"/>
        <v>8758093.870000001</v>
      </c>
      <c r="N34" s="204" t="s">
        <v>559</v>
      </c>
      <c r="O34" s="214">
        <f>'[2]Base Rent 2016'!C11</f>
        <v>1502</v>
      </c>
    </row>
    <row r="35" spans="4:15" x14ac:dyDescent="0.25">
      <c r="D35" s="205">
        <v>33</v>
      </c>
      <c r="E35" s="206">
        <v>42014</v>
      </c>
      <c r="F35" s="211">
        <f t="shared" si="4"/>
        <v>8758093.870000001</v>
      </c>
      <c r="G35" s="212">
        <f t="shared" si="0"/>
        <v>47730.73</v>
      </c>
      <c r="H35" s="212">
        <f t="shared" si="1"/>
        <v>13063.280000000006</v>
      </c>
      <c r="I35" s="88">
        <f t="shared" si="2"/>
        <v>34667.449999999997</v>
      </c>
      <c r="J35" s="213">
        <f t="shared" si="5"/>
        <v>403418.1100000001</v>
      </c>
      <c r="K35" s="211">
        <f t="shared" si="6"/>
        <v>1170144.6799999997</v>
      </c>
      <c r="L35" s="211">
        <f t="shared" si="3"/>
        <v>8745030.5900000017</v>
      </c>
      <c r="N35" s="204" t="s">
        <v>560</v>
      </c>
      <c r="O35" s="88">
        <v>25</v>
      </c>
    </row>
    <row r="36" spans="4:15" x14ac:dyDescent="0.25">
      <c r="D36" s="205">
        <v>34</v>
      </c>
      <c r="E36" s="206">
        <v>42045</v>
      </c>
      <c r="F36" s="211">
        <f t="shared" si="4"/>
        <v>8745030.5900000017</v>
      </c>
      <c r="G36" s="212">
        <f t="shared" si="0"/>
        <v>47730.73</v>
      </c>
      <c r="H36" s="212">
        <f t="shared" si="1"/>
        <v>13114.980000000003</v>
      </c>
      <c r="I36" s="88">
        <f t="shared" si="2"/>
        <v>34615.75</v>
      </c>
      <c r="J36" s="213">
        <f t="shared" si="5"/>
        <v>416481.39000000013</v>
      </c>
      <c r="K36" s="211">
        <f t="shared" si="6"/>
        <v>1204760.4299999997</v>
      </c>
      <c r="L36" s="211">
        <f t="shared" si="3"/>
        <v>8731915.6100000013</v>
      </c>
    </row>
    <row r="37" spans="4:15" x14ac:dyDescent="0.25">
      <c r="D37" s="205">
        <v>35</v>
      </c>
      <c r="E37" s="206">
        <v>42073</v>
      </c>
      <c r="F37" s="211">
        <f t="shared" si="4"/>
        <v>8731915.6100000013</v>
      </c>
      <c r="G37" s="212">
        <f t="shared" si="0"/>
        <v>47730.73</v>
      </c>
      <c r="H37" s="212">
        <f t="shared" si="1"/>
        <v>13166.900000000001</v>
      </c>
      <c r="I37" s="88">
        <f t="shared" si="2"/>
        <v>34563.83</v>
      </c>
      <c r="J37" s="213">
        <f t="shared" si="5"/>
        <v>429596.37000000011</v>
      </c>
      <c r="K37" s="211">
        <f t="shared" si="6"/>
        <v>1239324.2599999998</v>
      </c>
      <c r="L37" s="211">
        <f t="shared" si="3"/>
        <v>8718748.7100000009</v>
      </c>
      <c r="N37" s="204" t="s">
        <v>561</v>
      </c>
      <c r="O37" s="103">
        <f>(O$34*O$35)/4</f>
        <v>9387.5</v>
      </c>
    </row>
    <row r="38" spans="4:15" x14ac:dyDescent="0.25">
      <c r="D38" s="205">
        <v>36</v>
      </c>
      <c r="E38" s="206">
        <v>42104</v>
      </c>
      <c r="F38" s="211">
        <f t="shared" si="4"/>
        <v>8718748.7100000009</v>
      </c>
      <c r="G38" s="212">
        <f t="shared" si="0"/>
        <v>47730.73</v>
      </c>
      <c r="H38" s="212">
        <f t="shared" si="1"/>
        <v>13219.020000000004</v>
      </c>
      <c r="I38" s="88">
        <f t="shared" si="2"/>
        <v>34511.71</v>
      </c>
      <c r="J38" s="213">
        <f t="shared" si="5"/>
        <v>442763.27000000014</v>
      </c>
      <c r="K38" s="211">
        <f t="shared" si="6"/>
        <v>1273835.9699999997</v>
      </c>
      <c r="L38" s="211">
        <f t="shared" si="3"/>
        <v>8705529.6900000013</v>
      </c>
      <c r="N38" s="204" t="s">
        <v>562</v>
      </c>
      <c r="O38" s="103">
        <f t="shared" ref="O38:O40" si="10">(O$34*O$35)/4</f>
        <v>9387.5</v>
      </c>
    </row>
    <row r="39" spans="4:15" x14ac:dyDescent="0.25">
      <c r="D39" s="205">
        <v>37</v>
      </c>
      <c r="E39" s="206">
        <v>42134</v>
      </c>
      <c r="F39" s="211">
        <f t="shared" si="4"/>
        <v>8705529.6900000013</v>
      </c>
      <c r="G39" s="212">
        <f t="shared" si="0"/>
        <v>47730.73</v>
      </c>
      <c r="H39" s="212">
        <f t="shared" si="1"/>
        <v>13271.340000000004</v>
      </c>
      <c r="I39" s="88">
        <f t="shared" si="2"/>
        <v>34459.39</v>
      </c>
      <c r="J39" s="213">
        <f t="shared" si="5"/>
        <v>455982.29000000015</v>
      </c>
      <c r="K39" s="211">
        <f t="shared" si="6"/>
        <v>1308295.3599999996</v>
      </c>
      <c r="L39" s="211">
        <f t="shared" si="3"/>
        <v>8692258.3500000015</v>
      </c>
      <c r="N39" s="204" t="s">
        <v>563</v>
      </c>
      <c r="O39" s="103">
        <f t="shared" si="10"/>
        <v>9387.5</v>
      </c>
    </row>
    <row r="40" spans="4:15" x14ac:dyDescent="0.25">
      <c r="D40" s="205">
        <v>38</v>
      </c>
      <c r="E40" s="206">
        <v>42165</v>
      </c>
      <c r="F40" s="211">
        <f t="shared" si="4"/>
        <v>8692258.3500000015</v>
      </c>
      <c r="G40" s="212">
        <f t="shared" si="0"/>
        <v>47730.73</v>
      </c>
      <c r="H40" s="212">
        <f t="shared" si="1"/>
        <v>13323.870000000003</v>
      </c>
      <c r="I40" s="88">
        <f t="shared" si="2"/>
        <v>34406.86</v>
      </c>
      <c r="J40" s="213">
        <f t="shared" si="5"/>
        <v>469253.63000000018</v>
      </c>
      <c r="K40" s="211">
        <f t="shared" si="6"/>
        <v>1342702.2199999997</v>
      </c>
      <c r="L40" s="211">
        <f t="shared" si="3"/>
        <v>8678934.4800000023</v>
      </c>
      <c r="N40" s="204" t="s">
        <v>564</v>
      </c>
      <c r="O40" s="103">
        <f t="shared" si="10"/>
        <v>9387.5</v>
      </c>
    </row>
    <row r="41" spans="4:15" x14ac:dyDescent="0.25">
      <c r="D41" s="205">
        <v>39</v>
      </c>
      <c r="E41" s="206">
        <v>42195</v>
      </c>
      <c r="F41" s="211">
        <f t="shared" si="4"/>
        <v>8678934.4800000023</v>
      </c>
      <c r="G41" s="212">
        <f t="shared" si="0"/>
        <v>47730.73</v>
      </c>
      <c r="H41" s="212">
        <f t="shared" si="1"/>
        <v>13376.61</v>
      </c>
      <c r="I41" s="88">
        <f t="shared" si="2"/>
        <v>34354.120000000003</v>
      </c>
      <c r="J41" s="213">
        <f t="shared" si="5"/>
        <v>482577.50000000017</v>
      </c>
      <c r="K41" s="211">
        <f t="shared" si="6"/>
        <v>1377056.3399999999</v>
      </c>
      <c r="L41" s="211">
        <f t="shared" si="3"/>
        <v>8665557.8700000029</v>
      </c>
    </row>
    <row r="42" spans="4:15" x14ac:dyDescent="0.25">
      <c r="D42" s="205">
        <v>40</v>
      </c>
      <c r="E42" s="206">
        <v>42226</v>
      </c>
      <c r="F42" s="211">
        <f t="shared" si="4"/>
        <v>8665557.8700000029</v>
      </c>
      <c r="G42" s="212">
        <f t="shared" si="0"/>
        <v>47730.73</v>
      </c>
      <c r="H42" s="212">
        <f t="shared" si="1"/>
        <v>13429.560000000005</v>
      </c>
      <c r="I42" s="88">
        <f t="shared" si="2"/>
        <v>34301.17</v>
      </c>
      <c r="J42" s="213">
        <f t="shared" si="5"/>
        <v>495954.11000000016</v>
      </c>
      <c r="K42" s="211">
        <f t="shared" si="6"/>
        <v>1411357.5099999998</v>
      </c>
      <c r="L42" s="211">
        <f t="shared" si="3"/>
        <v>8652128.3100000024</v>
      </c>
    </row>
    <row r="43" spans="4:15" x14ac:dyDescent="0.25">
      <c r="D43" s="205">
        <v>41</v>
      </c>
      <c r="E43" s="206">
        <v>42257</v>
      </c>
      <c r="F43" s="211">
        <f t="shared" si="4"/>
        <v>8652128.3100000024</v>
      </c>
      <c r="G43" s="212">
        <f t="shared" si="0"/>
        <v>47730.73</v>
      </c>
      <c r="H43" s="212">
        <f t="shared" si="1"/>
        <v>13482.720000000001</v>
      </c>
      <c r="I43" s="88">
        <f t="shared" si="2"/>
        <v>34248.01</v>
      </c>
      <c r="J43" s="213">
        <f t="shared" si="5"/>
        <v>509383.67000000016</v>
      </c>
      <c r="K43" s="211">
        <f t="shared" si="6"/>
        <v>1445605.5199999998</v>
      </c>
      <c r="L43" s="211">
        <f t="shared" si="3"/>
        <v>8638645.5900000017</v>
      </c>
    </row>
    <row r="44" spans="4:15" x14ac:dyDescent="0.25">
      <c r="D44" s="205">
        <v>42</v>
      </c>
      <c r="E44" s="206">
        <v>42287</v>
      </c>
      <c r="F44" s="211">
        <f t="shared" si="4"/>
        <v>8638645.5900000017</v>
      </c>
      <c r="G44" s="212">
        <f t="shared" si="0"/>
        <v>47730.73</v>
      </c>
      <c r="H44" s="212">
        <f t="shared" si="1"/>
        <v>13536.090000000004</v>
      </c>
      <c r="I44" s="88">
        <f t="shared" si="2"/>
        <v>34194.639999999999</v>
      </c>
      <c r="J44" s="213">
        <f t="shared" si="5"/>
        <v>522866.39000000013</v>
      </c>
      <c r="K44" s="211">
        <f t="shared" si="6"/>
        <v>1479800.1599999997</v>
      </c>
      <c r="L44" s="211">
        <f t="shared" si="3"/>
        <v>8625109.5000000019</v>
      </c>
    </row>
    <row r="45" spans="4:15" x14ac:dyDescent="0.25">
      <c r="D45" s="205">
        <v>43</v>
      </c>
      <c r="E45" s="206">
        <v>42318</v>
      </c>
      <c r="F45" s="211">
        <f t="shared" si="4"/>
        <v>8625109.5000000019</v>
      </c>
      <c r="G45" s="212">
        <f t="shared" si="0"/>
        <v>47730.73</v>
      </c>
      <c r="H45" s="212">
        <f t="shared" si="1"/>
        <v>13589.670000000006</v>
      </c>
      <c r="I45" s="88">
        <f t="shared" si="2"/>
        <v>34141.06</v>
      </c>
      <c r="J45" s="213">
        <f t="shared" si="5"/>
        <v>536402.4800000001</v>
      </c>
      <c r="K45" s="211">
        <f t="shared" si="6"/>
        <v>1513941.2199999997</v>
      </c>
      <c r="L45" s="211">
        <f t="shared" si="3"/>
        <v>8611519.8300000019</v>
      </c>
    </row>
    <row r="46" spans="4:15" x14ac:dyDescent="0.25">
      <c r="D46" s="205">
        <v>44</v>
      </c>
      <c r="E46" s="206">
        <v>42348</v>
      </c>
      <c r="F46" s="211">
        <f t="shared" si="4"/>
        <v>8611519.8300000019</v>
      </c>
      <c r="G46" s="212">
        <f t="shared" si="0"/>
        <v>47730.73</v>
      </c>
      <c r="H46" s="212">
        <f t="shared" si="1"/>
        <v>13643.460000000006</v>
      </c>
      <c r="I46" s="88">
        <f t="shared" si="2"/>
        <v>34087.269999999997</v>
      </c>
      <c r="J46" s="213">
        <f t="shared" si="5"/>
        <v>549992.15000000014</v>
      </c>
      <c r="K46" s="211">
        <f t="shared" si="6"/>
        <v>1548028.4899999998</v>
      </c>
      <c r="L46" s="211">
        <f t="shared" si="3"/>
        <v>8597876.370000001</v>
      </c>
    </row>
    <row r="47" spans="4:15" x14ac:dyDescent="0.25">
      <c r="D47" s="205">
        <v>45</v>
      </c>
      <c r="E47" s="206">
        <v>42379</v>
      </c>
      <c r="F47" s="211">
        <f t="shared" si="4"/>
        <v>8597876.370000001</v>
      </c>
      <c r="G47" s="212">
        <f t="shared" si="0"/>
        <v>47730.73</v>
      </c>
      <c r="H47" s="212">
        <f t="shared" si="1"/>
        <v>13697.470000000001</v>
      </c>
      <c r="I47" s="88">
        <f t="shared" si="2"/>
        <v>34033.26</v>
      </c>
      <c r="J47" s="213">
        <f t="shared" si="5"/>
        <v>563635.6100000001</v>
      </c>
      <c r="K47" s="211">
        <f t="shared" si="6"/>
        <v>1582061.7499999998</v>
      </c>
      <c r="L47" s="211">
        <f t="shared" si="3"/>
        <v>8584178.9000000004</v>
      </c>
    </row>
    <row r="48" spans="4:15" x14ac:dyDescent="0.25">
      <c r="D48" s="205">
        <v>46</v>
      </c>
      <c r="E48" s="206">
        <v>42410</v>
      </c>
      <c r="F48" s="211">
        <f t="shared" si="4"/>
        <v>8584178.9000000004</v>
      </c>
      <c r="G48" s="212">
        <f t="shared" si="0"/>
        <v>47730.73</v>
      </c>
      <c r="H48" s="212">
        <f t="shared" si="1"/>
        <v>13751.690000000002</v>
      </c>
      <c r="I48" s="88">
        <f t="shared" si="2"/>
        <v>33979.040000000001</v>
      </c>
      <c r="J48" s="213">
        <f t="shared" si="5"/>
        <v>577333.08000000007</v>
      </c>
      <c r="K48" s="211">
        <f t="shared" si="6"/>
        <v>1616040.7899999998</v>
      </c>
      <c r="L48" s="211">
        <f t="shared" si="3"/>
        <v>8570427.2100000009</v>
      </c>
    </row>
    <row r="49" spans="4:15" x14ac:dyDescent="0.25">
      <c r="D49" s="205">
        <v>47</v>
      </c>
      <c r="E49" s="206">
        <v>42439</v>
      </c>
      <c r="F49" s="211">
        <f t="shared" si="4"/>
        <v>8570427.2100000009</v>
      </c>
      <c r="G49" s="212">
        <f t="shared" si="0"/>
        <v>47730.73</v>
      </c>
      <c r="H49" s="212">
        <f t="shared" si="1"/>
        <v>13806.120000000003</v>
      </c>
      <c r="I49" s="88">
        <f t="shared" si="2"/>
        <v>33924.61</v>
      </c>
      <c r="J49" s="213">
        <f t="shared" si="5"/>
        <v>591084.77</v>
      </c>
      <c r="K49" s="211">
        <f t="shared" si="6"/>
        <v>1649965.4</v>
      </c>
      <c r="L49" s="211">
        <f t="shared" si="3"/>
        <v>8556621.0900000017</v>
      </c>
    </row>
    <row r="50" spans="4:15" x14ac:dyDescent="0.25">
      <c r="D50" s="205">
        <v>48</v>
      </c>
      <c r="E50" s="206">
        <v>42470</v>
      </c>
      <c r="F50" s="211">
        <f t="shared" si="4"/>
        <v>8556621.0900000017</v>
      </c>
      <c r="G50" s="212">
        <f t="shared" si="0"/>
        <v>47730.73</v>
      </c>
      <c r="H50" s="212">
        <f t="shared" si="1"/>
        <v>13860.770000000004</v>
      </c>
      <c r="I50" s="88">
        <f t="shared" si="2"/>
        <v>33869.96</v>
      </c>
      <c r="J50" s="213">
        <f t="shared" si="5"/>
        <v>604890.89</v>
      </c>
      <c r="K50" s="211">
        <f t="shared" si="6"/>
        <v>1683835.3599999999</v>
      </c>
      <c r="L50" s="211">
        <f t="shared" si="3"/>
        <v>8542760.3200000022</v>
      </c>
    </row>
    <row r="51" spans="4:15" x14ac:dyDescent="0.25">
      <c r="D51" s="205">
        <v>49</v>
      </c>
      <c r="E51" s="206">
        <v>42500</v>
      </c>
      <c r="F51" s="211">
        <f t="shared" si="4"/>
        <v>8542760.3200000022</v>
      </c>
      <c r="G51" s="212">
        <f t="shared" si="0"/>
        <v>47730.73</v>
      </c>
      <c r="H51" s="212">
        <f t="shared" si="1"/>
        <v>13915.640000000007</v>
      </c>
      <c r="I51" s="88">
        <f t="shared" si="2"/>
        <v>33815.089999999997</v>
      </c>
      <c r="J51" s="213">
        <f t="shared" si="5"/>
        <v>618751.66</v>
      </c>
      <c r="K51" s="211">
        <f t="shared" si="6"/>
        <v>1717650.45</v>
      </c>
      <c r="L51" s="211">
        <f t="shared" si="3"/>
        <v>8528844.6800000016</v>
      </c>
    </row>
    <row r="52" spans="4:15" x14ac:dyDescent="0.25">
      <c r="D52" s="205">
        <v>50</v>
      </c>
      <c r="E52" s="206">
        <v>42531</v>
      </c>
      <c r="F52" s="211">
        <f t="shared" si="4"/>
        <v>8528844.6800000016</v>
      </c>
      <c r="G52" s="212">
        <f t="shared" si="0"/>
        <v>47730.73</v>
      </c>
      <c r="H52" s="212">
        <f t="shared" si="1"/>
        <v>13970.720000000001</v>
      </c>
      <c r="I52" s="88">
        <f t="shared" si="2"/>
        <v>33760.01</v>
      </c>
      <c r="J52" s="213">
        <f t="shared" si="5"/>
        <v>632667.30000000005</v>
      </c>
      <c r="K52" s="211">
        <f t="shared" si="6"/>
        <v>1751410.46</v>
      </c>
      <c r="L52" s="211">
        <f t="shared" si="3"/>
        <v>8514873.9600000009</v>
      </c>
    </row>
    <row r="53" spans="4:15" x14ac:dyDescent="0.25">
      <c r="D53" s="205">
        <v>51</v>
      </c>
      <c r="E53" s="206">
        <v>42561</v>
      </c>
      <c r="F53" s="211">
        <f t="shared" si="4"/>
        <v>8514873.9600000009</v>
      </c>
      <c r="G53" s="212">
        <f t="shared" si="0"/>
        <v>47730.73</v>
      </c>
      <c r="H53" s="212">
        <f t="shared" si="1"/>
        <v>14026.020000000004</v>
      </c>
      <c r="I53" s="88">
        <f t="shared" si="2"/>
        <v>33704.71</v>
      </c>
      <c r="J53" s="213">
        <f t="shared" si="5"/>
        <v>646638.02</v>
      </c>
      <c r="K53" s="211">
        <f t="shared" si="6"/>
        <v>1785115.17</v>
      </c>
      <c r="L53" s="211">
        <f t="shared" si="3"/>
        <v>8500847.9400000013</v>
      </c>
    </row>
    <row r="54" spans="4:15" x14ac:dyDescent="0.25">
      <c r="D54" s="205">
        <v>52</v>
      </c>
      <c r="E54" s="206">
        <v>42592</v>
      </c>
      <c r="F54" s="211">
        <f t="shared" si="4"/>
        <v>8500847.9400000013</v>
      </c>
      <c r="G54" s="212">
        <f t="shared" si="0"/>
        <v>47730.73</v>
      </c>
      <c r="H54" s="212">
        <f t="shared" si="1"/>
        <v>14081.54</v>
      </c>
      <c r="I54" s="88">
        <f t="shared" si="2"/>
        <v>33649.19</v>
      </c>
      <c r="J54" s="213">
        <f t="shared" si="5"/>
        <v>660664.04</v>
      </c>
      <c r="K54" s="211">
        <f t="shared" si="6"/>
        <v>1818764.3599999999</v>
      </c>
      <c r="L54" s="211">
        <f t="shared" si="3"/>
        <v>8486766.4000000022</v>
      </c>
    </row>
    <row r="55" spans="4:15" x14ac:dyDescent="0.25">
      <c r="D55" s="205">
        <v>53</v>
      </c>
      <c r="E55" s="206">
        <v>42623</v>
      </c>
      <c r="F55" s="211">
        <f t="shared" si="4"/>
        <v>8486766.4000000022</v>
      </c>
      <c r="G55" s="212">
        <f t="shared" si="0"/>
        <v>47730.73</v>
      </c>
      <c r="H55" s="212">
        <f t="shared" si="1"/>
        <v>14137.280000000006</v>
      </c>
      <c r="I55" s="88">
        <f t="shared" si="2"/>
        <v>33593.449999999997</v>
      </c>
      <c r="J55" s="213">
        <f t="shared" si="5"/>
        <v>674745.58000000007</v>
      </c>
      <c r="K55" s="211">
        <f t="shared" si="6"/>
        <v>1852357.8099999998</v>
      </c>
      <c r="L55" s="211">
        <f t="shared" si="3"/>
        <v>8472629.1200000029</v>
      </c>
    </row>
    <row r="56" spans="4:15" x14ac:dyDescent="0.25">
      <c r="D56" s="205">
        <v>54</v>
      </c>
      <c r="E56" s="206">
        <v>42653</v>
      </c>
      <c r="F56" s="211">
        <f t="shared" si="4"/>
        <v>8472629.1200000029</v>
      </c>
      <c r="G56" s="212">
        <f t="shared" si="0"/>
        <v>47730.73</v>
      </c>
      <c r="H56" s="212">
        <f t="shared" si="1"/>
        <v>14193.240000000005</v>
      </c>
      <c r="I56" s="88">
        <f t="shared" si="2"/>
        <v>33537.49</v>
      </c>
      <c r="J56" s="213">
        <f t="shared" si="5"/>
        <v>688882.8600000001</v>
      </c>
      <c r="K56" s="211">
        <f t="shared" si="6"/>
        <v>1885895.2999999998</v>
      </c>
      <c r="L56" s="211">
        <f t="shared" si="3"/>
        <v>8458435.8800000027</v>
      </c>
    </row>
    <row r="57" spans="4:15" x14ac:dyDescent="0.25">
      <c r="D57" s="205">
        <v>55</v>
      </c>
      <c r="E57" s="206">
        <v>42684</v>
      </c>
      <c r="F57" s="211">
        <f t="shared" si="4"/>
        <v>8458435.8800000027</v>
      </c>
      <c r="G57" s="212">
        <f t="shared" si="0"/>
        <v>47730.73</v>
      </c>
      <c r="H57" s="212">
        <f t="shared" si="1"/>
        <v>14249.420000000006</v>
      </c>
      <c r="I57" s="88">
        <f t="shared" si="2"/>
        <v>33481.31</v>
      </c>
      <c r="J57" s="213">
        <f t="shared" si="5"/>
        <v>703076.10000000009</v>
      </c>
      <c r="K57" s="211">
        <f t="shared" si="6"/>
        <v>1919376.6099999999</v>
      </c>
      <c r="L57" s="211">
        <f t="shared" si="3"/>
        <v>8444186.4600000028</v>
      </c>
    </row>
    <row r="58" spans="4:15" x14ac:dyDescent="0.25">
      <c r="D58" s="205">
        <v>56</v>
      </c>
      <c r="E58" s="206">
        <v>42714</v>
      </c>
      <c r="F58" s="211">
        <f t="shared" si="4"/>
        <v>8444186.4600000028</v>
      </c>
      <c r="G58" s="212">
        <f t="shared" si="0"/>
        <v>47730.73</v>
      </c>
      <c r="H58" s="212">
        <f t="shared" si="1"/>
        <v>14305.830000000002</v>
      </c>
      <c r="I58" s="88">
        <f t="shared" si="2"/>
        <v>33424.9</v>
      </c>
      <c r="J58" s="213">
        <f t="shared" si="5"/>
        <v>717325.52000000014</v>
      </c>
      <c r="K58" s="211">
        <f t="shared" si="6"/>
        <v>1952801.5099999998</v>
      </c>
      <c r="L58" s="211">
        <f t="shared" si="3"/>
        <v>8429880.6300000027</v>
      </c>
    </row>
    <row r="59" spans="4:15" x14ac:dyDescent="0.25">
      <c r="D59" s="205">
        <v>57</v>
      </c>
      <c r="E59" s="206">
        <v>42745</v>
      </c>
      <c r="F59" s="211">
        <f t="shared" si="4"/>
        <v>8429880.6300000027</v>
      </c>
      <c r="G59" s="212">
        <f t="shared" si="0"/>
        <v>47730.73</v>
      </c>
      <c r="H59" s="212">
        <f t="shared" si="1"/>
        <v>14362.450000000004</v>
      </c>
      <c r="I59" s="88">
        <f t="shared" si="2"/>
        <v>33368.28</v>
      </c>
      <c r="J59" s="213">
        <f t="shared" si="5"/>
        <v>731631.35000000009</v>
      </c>
      <c r="K59" s="211">
        <f t="shared" si="6"/>
        <v>1986169.7899999998</v>
      </c>
      <c r="L59" s="211">
        <f t="shared" si="3"/>
        <v>8415518.1800000034</v>
      </c>
      <c r="N59" s="204">
        <v>33368.28</v>
      </c>
      <c r="O59" s="204">
        <f>-N59</f>
        <v>-33368.28</v>
      </c>
    </row>
    <row r="60" spans="4:15" x14ac:dyDescent="0.25">
      <c r="D60" s="205">
        <v>58</v>
      </c>
      <c r="E60" s="206">
        <v>42776</v>
      </c>
      <c r="F60" s="211">
        <f t="shared" si="4"/>
        <v>8415518.1800000034</v>
      </c>
      <c r="G60" s="212">
        <f t="shared" si="0"/>
        <v>47730.73</v>
      </c>
      <c r="H60" s="212">
        <f t="shared" si="1"/>
        <v>14419.300000000003</v>
      </c>
      <c r="I60" s="88">
        <f t="shared" si="2"/>
        <v>33311.43</v>
      </c>
      <c r="J60" s="213">
        <f t="shared" si="5"/>
        <v>745993.8</v>
      </c>
      <c r="K60" s="211">
        <f t="shared" si="6"/>
        <v>2019481.2199999997</v>
      </c>
      <c r="L60" s="211">
        <f t="shared" si="3"/>
        <v>8401098.8800000027</v>
      </c>
      <c r="N60" s="204">
        <v>33311.43</v>
      </c>
      <c r="O60" s="204">
        <f t="shared" ref="O60:O70" si="11">-N60</f>
        <v>-33311.43</v>
      </c>
    </row>
    <row r="61" spans="4:15" x14ac:dyDescent="0.25">
      <c r="D61" s="205">
        <v>59</v>
      </c>
      <c r="E61" s="206">
        <v>42804</v>
      </c>
      <c r="F61" s="211">
        <f t="shared" si="4"/>
        <v>8401098.8800000027</v>
      </c>
      <c r="G61" s="212">
        <f t="shared" si="0"/>
        <v>47730.73</v>
      </c>
      <c r="H61" s="212">
        <f t="shared" si="1"/>
        <v>14476.380000000005</v>
      </c>
      <c r="I61" s="88">
        <f t="shared" si="2"/>
        <v>33254.35</v>
      </c>
      <c r="J61" s="213">
        <f t="shared" si="5"/>
        <v>760413.10000000009</v>
      </c>
      <c r="K61" s="211">
        <f t="shared" si="6"/>
        <v>2052735.5699999998</v>
      </c>
      <c r="L61" s="211">
        <f t="shared" si="3"/>
        <v>8386622.5000000028</v>
      </c>
      <c r="N61" s="204">
        <v>33254.35</v>
      </c>
      <c r="O61" s="204">
        <f t="shared" si="11"/>
        <v>-33254.35</v>
      </c>
    </row>
    <row r="62" spans="4:15" x14ac:dyDescent="0.25">
      <c r="D62" s="205">
        <v>60</v>
      </c>
      <c r="E62" s="206">
        <v>42835</v>
      </c>
      <c r="F62" s="211">
        <f t="shared" si="4"/>
        <v>8386622.5000000028</v>
      </c>
      <c r="G62" s="212">
        <f t="shared" si="0"/>
        <v>47730.73</v>
      </c>
      <c r="H62" s="212">
        <f t="shared" si="1"/>
        <v>14533.68</v>
      </c>
      <c r="I62" s="88">
        <f t="shared" si="2"/>
        <v>33197.050000000003</v>
      </c>
      <c r="J62" s="213">
        <f t="shared" si="5"/>
        <v>774889.4800000001</v>
      </c>
      <c r="K62" s="211">
        <f t="shared" si="6"/>
        <v>2085932.6199999999</v>
      </c>
      <c r="L62" s="211">
        <f t="shared" si="3"/>
        <v>8372088.8200000031</v>
      </c>
      <c r="N62" s="204">
        <v>33197.050000000003</v>
      </c>
      <c r="O62" s="204">
        <f t="shared" si="11"/>
        <v>-33197.050000000003</v>
      </c>
    </row>
    <row r="63" spans="4:15" x14ac:dyDescent="0.25">
      <c r="D63" s="205">
        <v>61</v>
      </c>
      <c r="E63" s="206">
        <v>42865</v>
      </c>
      <c r="F63" s="211">
        <f t="shared" ref="F63:F126" si="12">L62</f>
        <v>8372088.8200000031</v>
      </c>
      <c r="G63" s="212">
        <f t="shared" si="0"/>
        <v>47730.73</v>
      </c>
      <c r="H63" s="212">
        <f t="shared" si="1"/>
        <v>14591.210000000006</v>
      </c>
      <c r="I63" s="88">
        <f t="shared" si="2"/>
        <v>33139.519999999997</v>
      </c>
      <c r="J63" s="213">
        <f t="shared" ref="J63:J126" si="13">H62+J62</f>
        <v>789423.16000000015</v>
      </c>
      <c r="K63" s="211">
        <f t="shared" si="6"/>
        <v>2119072.1399999997</v>
      </c>
      <c r="L63" s="211">
        <f t="shared" si="3"/>
        <v>8357497.6100000031</v>
      </c>
      <c r="N63" s="204">
        <v>33139.519999999997</v>
      </c>
      <c r="O63" s="204">
        <f t="shared" si="11"/>
        <v>-33139.519999999997</v>
      </c>
    </row>
    <row r="64" spans="4:15" x14ac:dyDescent="0.25">
      <c r="D64" s="205">
        <v>62</v>
      </c>
      <c r="E64" s="206">
        <v>42896</v>
      </c>
      <c r="F64" s="211">
        <f t="shared" si="12"/>
        <v>8357497.6100000031</v>
      </c>
      <c r="G64" s="212">
        <f t="shared" si="0"/>
        <v>47730.73</v>
      </c>
      <c r="H64" s="212">
        <f t="shared" si="1"/>
        <v>14648.970000000001</v>
      </c>
      <c r="I64" s="88">
        <f t="shared" si="2"/>
        <v>33081.760000000002</v>
      </c>
      <c r="J64" s="213">
        <f t="shared" si="13"/>
        <v>804014.37000000011</v>
      </c>
      <c r="K64" s="211">
        <f t="shared" si="6"/>
        <v>2152153.8999999994</v>
      </c>
      <c r="L64" s="211">
        <f t="shared" si="3"/>
        <v>8342848.6400000034</v>
      </c>
      <c r="N64" s="204">
        <v>33081.760000000002</v>
      </c>
      <c r="O64" s="204">
        <f t="shared" si="11"/>
        <v>-33081.760000000002</v>
      </c>
    </row>
    <row r="65" spans="4:15" x14ac:dyDescent="0.25">
      <c r="D65" s="205">
        <v>63</v>
      </c>
      <c r="E65" s="206">
        <v>42926</v>
      </c>
      <c r="F65" s="211">
        <f t="shared" si="12"/>
        <v>8342848.6400000034</v>
      </c>
      <c r="G65" s="212">
        <f t="shared" si="0"/>
        <v>47730.73</v>
      </c>
      <c r="H65" s="212">
        <f t="shared" si="1"/>
        <v>14706.950000000004</v>
      </c>
      <c r="I65" s="88">
        <f t="shared" si="2"/>
        <v>33023.78</v>
      </c>
      <c r="J65" s="213">
        <f t="shared" si="13"/>
        <v>818663.34000000008</v>
      </c>
      <c r="K65" s="211">
        <f t="shared" si="6"/>
        <v>2185177.6799999992</v>
      </c>
      <c r="L65" s="211">
        <f t="shared" si="3"/>
        <v>8328141.6900000032</v>
      </c>
      <c r="N65" s="204">
        <v>33023.78</v>
      </c>
      <c r="O65" s="204">
        <f t="shared" si="11"/>
        <v>-33023.78</v>
      </c>
    </row>
    <row r="66" spans="4:15" x14ac:dyDescent="0.25">
      <c r="D66" s="205">
        <v>64</v>
      </c>
      <c r="E66" s="206">
        <v>42957</v>
      </c>
      <c r="F66" s="211">
        <f t="shared" si="12"/>
        <v>8328141.6900000032</v>
      </c>
      <c r="G66" s="212">
        <f t="shared" si="0"/>
        <v>47730.73</v>
      </c>
      <c r="H66" s="212">
        <f t="shared" si="1"/>
        <v>14765.170000000006</v>
      </c>
      <c r="I66" s="88">
        <f t="shared" si="2"/>
        <v>32965.56</v>
      </c>
      <c r="J66" s="213">
        <f t="shared" si="13"/>
        <v>833370.29</v>
      </c>
      <c r="K66" s="211">
        <f t="shared" si="6"/>
        <v>2218143.2399999993</v>
      </c>
      <c r="L66" s="211">
        <f t="shared" si="3"/>
        <v>8313376.5200000033</v>
      </c>
      <c r="N66" s="204">
        <v>32965.56</v>
      </c>
      <c r="O66" s="204">
        <f t="shared" si="11"/>
        <v>-32965.56</v>
      </c>
    </row>
    <row r="67" spans="4:15" x14ac:dyDescent="0.25">
      <c r="D67" s="205">
        <v>65</v>
      </c>
      <c r="E67" s="206">
        <v>42988</v>
      </c>
      <c r="F67" s="211">
        <f t="shared" si="12"/>
        <v>8313376.5200000033</v>
      </c>
      <c r="G67" s="212">
        <f t="shared" si="0"/>
        <v>47730.73</v>
      </c>
      <c r="H67" s="212">
        <f t="shared" si="1"/>
        <v>14823.61</v>
      </c>
      <c r="I67" s="88">
        <f t="shared" si="2"/>
        <v>32907.120000000003</v>
      </c>
      <c r="J67" s="213">
        <f t="shared" si="13"/>
        <v>848135.46000000008</v>
      </c>
      <c r="K67" s="211">
        <f t="shared" si="6"/>
        <v>2251050.3599999994</v>
      </c>
      <c r="L67" s="211">
        <f t="shared" si="3"/>
        <v>8298552.9100000029</v>
      </c>
      <c r="N67" s="204">
        <v>32907.120000000003</v>
      </c>
      <c r="O67" s="204">
        <f t="shared" si="11"/>
        <v>-32907.120000000003</v>
      </c>
    </row>
    <row r="68" spans="4:15" x14ac:dyDescent="0.25">
      <c r="D68" s="205">
        <v>66</v>
      </c>
      <c r="E68" s="206">
        <v>43018</v>
      </c>
      <c r="F68" s="211">
        <f t="shared" si="12"/>
        <v>8298552.9100000029</v>
      </c>
      <c r="G68" s="212">
        <f t="shared" ref="G68:G126" si="14">$B$12</f>
        <v>47730.73</v>
      </c>
      <c r="H68" s="212">
        <f t="shared" ref="H68:H126" si="15">$G68-$I68</f>
        <v>14882.29</v>
      </c>
      <c r="I68" s="88">
        <f t="shared" ref="I68:I126" si="16">ROUND($F68*($B$10/12), 2)</f>
        <v>32848.44</v>
      </c>
      <c r="J68" s="213">
        <f t="shared" si="13"/>
        <v>862959.07000000007</v>
      </c>
      <c r="K68" s="211">
        <f t="shared" si="6"/>
        <v>2283898.7999999993</v>
      </c>
      <c r="L68" s="211">
        <f t="shared" ref="L68:L126" si="17">$F68-$H68</f>
        <v>8283670.6200000029</v>
      </c>
      <c r="N68" s="204">
        <v>32848.44</v>
      </c>
      <c r="O68" s="204">
        <f t="shared" si="11"/>
        <v>-32848.44</v>
      </c>
    </row>
    <row r="69" spans="4:15" x14ac:dyDescent="0.25">
      <c r="D69" s="205">
        <v>67</v>
      </c>
      <c r="E69" s="206">
        <v>43049</v>
      </c>
      <c r="F69" s="211">
        <f t="shared" si="12"/>
        <v>8283670.6200000029</v>
      </c>
      <c r="G69" s="212">
        <f t="shared" si="14"/>
        <v>47730.73</v>
      </c>
      <c r="H69" s="212">
        <f t="shared" si="15"/>
        <v>14941.200000000004</v>
      </c>
      <c r="I69" s="88">
        <f t="shared" si="16"/>
        <v>32789.53</v>
      </c>
      <c r="J69" s="213">
        <f t="shared" si="13"/>
        <v>877841.3600000001</v>
      </c>
      <c r="K69" s="211">
        <f t="shared" ref="K69:K126" si="18">$I69+$K68</f>
        <v>2316688.3299999991</v>
      </c>
      <c r="L69" s="211">
        <f t="shared" si="17"/>
        <v>8268729.4200000027</v>
      </c>
      <c r="N69" s="204">
        <v>32789.53</v>
      </c>
      <c r="O69" s="204">
        <f t="shared" si="11"/>
        <v>-32789.53</v>
      </c>
    </row>
    <row r="70" spans="4:15" x14ac:dyDescent="0.25">
      <c r="D70" s="205">
        <v>68</v>
      </c>
      <c r="E70" s="206">
        <v>43079</v>
      </c>
      <c r="F70" s="211">
        <f t="shared" si="12"/>
        <v>8268729.4200000027</v>
      </c>
      <c r="G70" s="212">
        <f t="shared" si="14"/>
        <v>47730.73</v>
      </c>
      <c r="H70" s="212">
        <f t="shared" si="15"/>
        <v>15000.340000000004</v>
      </c>
      <c r="I70" s="88">
        <f t="shared" si="16"/>
        <v>32730.39</v>
      </c>
      <c r="J70" s="213">
        <f t="shared" si="13"/>
        <v>892782.56</v>
      </c>
      <c r="K70" s="211">
        <f t="shared" si="18"/>
        <v>2349418.7199999993</v>
      </c>
      <c r="L70" s="211">
        <f t="shared" si="17"/>
        <v>8253729.0800000029</v>
      </c>
      <c r="N70" s="204">
        <v>32730.39</v>
      </c>
      <c r="O70" s="204">
        <f t="shared" si="11"/>
        <v>-32730.39</v>
      </c>
    </row>
    <row r="71" spans="4:15" x14ac:dyDescent="0.25">
      <c r="D71" s="205">
        <v>69</v>
      </c>
      <c r="E71" s="206">
        <v>43110</v>
      </c>
      <c r="F71" s="211">
        <f t="shared" si="12"/>
        <v>8253729.0800000029</v>
      </c>
      <c r="G71" s="212">
        <f t="shared" si="14"/>
        <v>47730.73</v>
      </c>
      <c r="H71" s="212">
        <f t="shared" si="15"/>
        <v>15059.720000000005</v>
      </c>
      <c r="I71" s="88">
        <f t="shared" si="16"/>
        <v>32671.01</v>
      </c>
      <c r="J71" s="213">
        <f t="shared" si="13"/>
        <v>907782.9</v>
      </c>
      <c r="K71" s="211">
        <f t="shared" si="18"/>
        <v>2382089.7299999991</v>
      </c>
      <c r="L71" s="211">
        <f t="shared" si="17"/>
        <v>8238669.3600000031</v>
      </c>
    </row>
    <row r="72" spans="4:15" x14ac:dyDescent="0.25">
      <c r="D72" s="205">
        <v>70</v>
      </c>
      <c r="E72" s="206">
        <v>43141</v>
      </c>
      <c r="F72" s="211">
        <f t="shared" si="12"/>
        <v>8238669.3600000031</v>
      </c>
      <c r="G72" s="212">
        <f t="shared" si="14"/>
        <v>47730.73</v>
      </c>
      <c r="H72" s="212">
        <f t="shared" si="15"/>
        <v>15119.330000000002</v>
      </c>
      <c r="I72" s="88">
        <f t="shared" si="16"/>
        <v>32611.4</v>
      </c>
      <c r="J72" s="213">
        <f t="shared" si="13"/>
        <v>922842.62</v>
      </c>
      <c r="K72" s="211">
        <f t="shared" si="18"/>
        <v>2414701.129999999</v>
      </c>
      <c r="L72" s="211">
        <f t="shared" si="17"/>
        <v>8223550.0300000031</v>
      </c>
    </row>
    <row r="73" spans="4:15" x14ac:dyDescent="0.25">
      <c r="D73" s="205">
        <v>71</v>
      </c>
      <c r="E73" s="206">
        <v>43169</v>
      </c>
      <c r="F73" s="211">
        <f t="shared" si="12"/>
        <v>8223550.0300000031</v>
      </c>
      <c r="G73" s="212">
        <f t="shared" si="14"/>
        <v>47730.73</v>
      </c>
      <c r="H73" s="212">
        <f t="shared" si="15"/>
        <v>15179.180000000004</v>
      </c>
      <c r="I73" s="88">
        <f t="shared" si="16"/>
        <v>32551.55</v>
      </c>
      <c r="J73" s="213">
        <f t="shared" si="13"/>
        <v>937961.95</v>
      </c>
      <c r="K73" s="211">
        <f t="shared" si="18"/>
        <v>2447252.6799999988</v>
      </c>
      <c r="L73" s="211">
        <f t="shared" si="17"/>
        <v>8208370.8500000034</v>
      </c>
    </row>
    <row r="74" spans="4:15" x14ac:dyDescent="0.25">
      <c r="D74" s="205">
        <v>72</v>
      </c>
      <c r="E74" s="206">
        <v>43200</v>
      </c>
      <c r="F74" s="211">
        <f t="shared" si="12"/>
        <v>8208370.8500000034</v>
      </c>
      <c r="G74" s="212">
        <f t="shared" si="14"/>
        <v>47730.73</v>
      </c>
      <c r="H74" s="212">
        <f t="shared" si="15"/>
        <v>15239.260000000002</v>
      </c>
      <c r="I74" s="88">
        <f t="shared" si="16"/>
        <v>32491.47</v>
      </c>
      <c r="J74" s="213">
        <f t="shared" si="13"/>
        <v>953141.13</v>
      </c>
      <c r="K74" s="211">
        <f t="shared" si="18"/>
        <v>2479744.149999999</v>
      </c>
      <c r="L74" s="211">
        <f t="shared" si="17"/>
        <v>8193131.5900000036</v>
      </c>
    </row>
    <row r="75" spans="4:15" x14ac:dyDescent="0.25">
      <c r="D75" s="205">
        <v>73</v>
      </c>
      <c r="E75" s="206">
        <v>43230</v>
      </c>
      <c r="F75" s="211">
        <f t="shared" si="12"/>
        <v>8193131.5900000036</v>
      </c>
      <c r="G75" s="212">
        <f t="shared" si="14"/>
        <v>47730.73</v>
      </c>
      <c r="H75" s="212">
        <f t="shared" si="15"/>
        <v>15299.580000000002</v>
      </c>
      <c r="I75" s="88">
        <f t="shared" si="16"/>
        <v>32431.15</v>
      </c>
      <c r="J75" s="213">
        <f t="shared" si="13"/>
        <v>968380.39</v>
      </c>
      <c r="K75" s="211">
        <f t="shared" si="18"/>
        <v>2512175.2999999989</v>
      </c>
      <c r="L75" s="211">
        <f t="shared" si="17"/>
        <v>8177832.0100000035</v>
      </c>
    </row>
    <row r="76" spans="4:15" x14ac:dyDescent="0.25">
      <c r="D76" s="205">
        <v>74</v>
      </c>
      <c r="E76" s="206">
        <v>43261</v>
      </c>
      <c r="F76" s="211">
        <f t="shared" si="12"/>
        <v>8177832.0100000035</v>
      </c>
      <c r="G76" s="212">
        <f t="shared" si="14"/>
        <v>47730.73</v>
      </c>
      <c r="H76" s="212">
        <f t="shared" si="15"/>
        <v>15360.140000000003</v>
      </c>
      <c r="I76" s="88">
        <f t="shared" si="16"/>
        <v>32370.59</v>
      </c>
      <c r="J76" s="213">
        <f t="shared" si="13"/>
        <v>983679.97</v>
      </c>
      <c r="K76" s="211">
        <f t="shared" si="18"/>
        <v>2544545.8899999987</v>
      </c>
      <c r="L76" s="211">
        <f t="shared" si="17"/>
        <v>8162471.8700000038</v>
      </c>
    </row>
    <row r="77" spans="4:15" x14ac:dyDescent="0.25">
      <c r="D77" s="205">
        <v>75</v>
      </c>
      <c r="E77" s="206">
        <v>43291</v>
      </c>
      <c r="F77" s="211">
        <f t="shared" si="12"/>
        <v>8162471.8700000038</v>
      </c>
      <c r="G77" s="212">
        <f t="shared" si="14"/>
        <v>47730.73</v>
      </c>
      <c r="H77" s="212">
        <f t="shared" si="15"/>
        <v>15420.950000000004</v>
      </c>
      <c r="I77" s="88">
        <f t="shared" si="16"/>
        <v>32309.78</v>
      </c>
      <c r="J77" s="213">
        <f t="shared" si="13"/>
        <v>999040.11</v>
      </c>
      <c r="K77" s="211">
        <f t="shared" si="18"/>
        <v>2576855.6699999985</v>
      </c>
      <c r="L77" s="211">
        <f t="shared" si="17"/>
        <v>8147050.9200000037</v>
      </c>
    </row>
    <row r="78" spans="4:15" x14ac:dyDescent="0.25">
      <c r="D78" s="205">
        <v>76</v>
      </c>
      <c r="E78" s="206">
        <v>43322</v>
      </c>
      <c r="F78" s="211">
        <f t="shared" si="12"/>
        <v>8147050.9200000037</v>
      </c>
      <c r="G78" s="212">
        <f t="shared" si="14"/>
        <v>47730.73</v>
      </c>
      <c r="H78" s="212">
        <f t="shared" si="15"/>
        <v>15481.990000000002</v>
      </c>
      <c r="I78" s="88">
        <f t="shared" si="16"/>
        <v>32248.74</v>
      </c>
      <c r="J78" s="213">
        <f t="shared" si="13"/>
        <v>1014461.0599999999</v>
      </c>
      <c r="K78" s="211">
        <f t="shared" si="18"/>
        <v>2609104.4099999988</v>
      </c>
      <c r="L78" s="211">
        <f t="shared" si="17"/>
        <v>8131568.9300000034</v>
      </c>
    </row>
    <row r="79" spans="4:15" x14ac:dyDescent="0.25">
      <c r="D79" s="205">
        <v>77</v>
      </c>
      <c r="E79" s="206">
        <v>43353</v>
      </c>
      <c r="F79" s="211">
        <f t="shared" si="12"/>
        <v>8131568.9300000034</v>
      </c>
      <c r="G79" s="212">
        <f t="shared" si="14"/>
        <v>47730.73</v>
      </c>
      <c r="H79" s="212">
        <f t="shared" si="15"/>
        <v>15543.270000000004</v>
      </c>
      <c r="I79" s="88">
        <f t="shared" si="16"/>
        <v>32187.46</v>
      </c>
      <c r="J79" s="213">
        <f t="shared" si="13"/>
        <v>1029943.0499999999</v>
      </c>
      <c r="K79" s="211">
        <f t="shared" si="18"/>
        <v>2641291.8699999987</v>
      </c>
      <c r="L79" s="211">
        <f t="shared" si="17"/>
        <v>8116025.6600000039</v>
      </c>
    </row>
    <row r="80" spans="4:15" x14ac:dyDescent="0.25">
      <c r="D80" s="205">
        <v>78</v>
      </c>
      <c r="E80" s="206">
        <v>43383</v>
      </c>
      <c r="F80" s="211">
        <f t="shared" si="12"/>
        <v>8116025.6600000039</v>
      </c>
      <c r="G80" s="212">
        <f t="shared" si="14"/>
        <v>47730.73</v>
      </c>
      <c r="H80" s="212">
        <f t="shared" si="15"/>
        <v>15604.800000000003</v>
      </c>
      <c r="I80" s="88">
        <f t="shared" si="16"/>
        <v>32125.93</v>
      </c>
      <c r="J80" s="213">
        <f t="shared" si="13"/>
        <v>1045486.32</v>
      </c>
      <c r="K80" s="211">
        <f t="shared" si="18"/>
        <v>2673417.7999999989</v>
      </c>
      <c r="L80" s="211">
        <f t="shared" si="17"/>
        <v>8100420.8600000041</v>
      </c>
    </row>
    <row r="81" spans="4:12" x14ac:dyDescent="0.25">
      <c r="D81" s="205">
        <v>79</v>
      </c>
      <c r="E81" s="206">
        <v>43414</v>
      </c>
      <c r="F81" s="211">
        <f t="shared" si="12"/>
        <v>8100420.8600000041</v>
      </c>
      <c r="G81" s="212">
        <f t="shared" si="14"/>
        <v>47730.73</v>
      </c>
      <c r="H81" s="212">
        <f t="shared" si="15"/>
        <v>15666.560000000005</v>
      </c>
      <c r="I81" s="88">
        <f t="shared" si="16"/>
        <v>32064.17</v>
      </c>
      <c r="J81" s="213">
        <f t="shared" si="13"/>
        <v>1061091.1199999999</v>
      </c>
      <c r="K81" s="211">
        <f t="shared" si="18"/>
        <v>2705481.9699999988</v>
      </c>
      <c r="L81" s="211">
        <f t="shared" si="17"/>
        <v>8084754.3000000045</v>
      </c>
    </row>
    <row r="82" spans="4:12" x14ac:dyDescent="0.25">
      <c r="D82" s="205">
        <v>80</v>
      </c>
      <c r="E82" s="206">
        <v>43444</v>
      </c>
      <c r="F82" s="211">
        <f t="shared" si="12"/>
        <v>8084754.3000000045</v>
      </c>
      <c r="G82" s="212">
        <f t="shared" si="14"/>
        <v>47730.73</v>
      </c>
      <c r="H82" s="212">
        <f t="shared" si="15"/>
        <v>15728.580000000002</v>
      </c>
      <c r="I82" s="88">
        <f t="shared" si="16"/>
        <v>32002.15</v>
      </c>
      <c r="J82" s="213">
        <f t="shared" si="13"/>
        <v>1076757.68</v>
      </c>
      <c r="K82" s="211">
        <f t="shared" si="18"/>
        <v>2737484.1199999987</v>
      </c>
      <c r="L82" s="211">
        <f t="shared" si="17"/>
        <v>8069025.7200000044</v>
      </c>
    </row>
    <row r="83" spans="4:12" x14ac:dyDescent="0.25">
      <c r="D83" s="205">
        <v>81</v>
      </c>
      <c r="E83" s="206">
        <v>43475</v>
      </c>
      <c r="F83" s="211">
        <f t="shared" si="12"/>
        <v>8069025.7200000044</v>
      </c>
      <c r="G83" s="212">
        <f t="shared" si="14"/>
        <v>47730.73</v>
      </c>
      <c r="H83" s="212">
        <f t="shared" si="15"/>
        <v>15790.840000000004</v>
      </c>
      <c r="I83" s="88">
        <f t="shared" si="16"/>
        <v>31939.89</v>
      </c>
      <c r="J83" s="213">
        <f t="shared" si="13"/>
        <v>1092486.26</v>
      </c>
      <c r="K83" s="211">
        <f t="shared" si="18"/>
        <v>2769424.0099999988</v>
      </c>
      <c r="L83" s="211">
        <f t="shared" si="17"/>
        <v>8053234.8800000045</v>
      </c>
    </row>
    <row r="84" spans="4:12" x14ac:dyDescent="0.25">
      <c r="D84" s="205">
        <v>82</v>
      </c>
      <c r="E84" s="206">
        <v>43506</v>
      </c>
      <c r="F84" s="211">
        <f t="shared" si="12"/>
        <v>8053234.8800000045</v>
      </c>
      <c r="G84" s="212">
        <f t="shared" si="14"/>
        <v>47730.73</v>
      </c>
      <c r="H84" s="212">
        <f t="shared" si="15"/>
        <v>15853.340000000004</v>
      </c>
      <c r="I84" s="88">
        <f t="shared" si="16"/>
        <v>31877.39</v>
      </c>
      <c r="J84" s="213">
        <f t="shared" si="13"/>
        <v>1108277.1000000001</v>
      </c>
      <c r="K84" s="211">
        <f t="shared" si="18"/>
        <v>2801301.399999999</v>
      </c>
      <c r="L84" s="211">
        <f t="shared" si="17"/>
        <v>8037381.5400000047</v>
      </c>
    </row>
    <row r="85" spans="4:12" x14ac:dyDescent="0.25">
      <c r="D85" s="205">
        <v>83</v>
      </c>
      <c r="E85" s="206">
        <v>43534</v>
      </c>
      <c r="F85" s="211">
        <f t="shared" si="12"/>
        <v>8037381.5400000047</v>
      </c>
      <c r="G85" s="212">
        <f t="shared" si="14"/>
        <v>47730.73</v>
      </c>
      <c r="H85" s="212">
        <f t="shared" si="15"/>
        <v>15916.090000000004</v>
      </c>
      <c r="I85" s="88">
        <f t="shared" si="16"/>
        <v>31814.639999999999</v>
      </c>
      <c r="J85" s="213">
        <f t="shared" si="13"/>
        <v>1124130.4400000002</v>
      </c>
      <c r="K85" s="211">
        <f t="shared" si="18"/>
        <v>2833116.0399999991</v>
      </c>
      <c r="L85" s="211">
        <f t="shared" si="17"/>
        <v>8021465.4500000048</v>
      </c>
    </row>
    <row r="86" spans="4:12" x14ac:dyDescent="0.25">
      <c r="D86" s="205">
        <v>84</v>
      </c>
      <c r="E86" s="206">
        <v>43565</v>
      </c>
      <c r="F86" s="211">
        <f t="shared" si="12"/>
        <v>8021465.4500000048</v>
      </c>
      <c r="G86" s="212">
        <f t="shared" si="14"/>
        <v>47730.73</v>
      </c>
      <c r="H86" s="212">
        <f t="shared" si="15"/>
        <v>15979.100000000002</v>
      </c>
      <c r="I86" s="88">
        <f t="shared" si="16"/>
        <v>31751.63</v>
      </c>
      <c r="J86" s="213">
        <f t="shared" si="13"/>
        <v>1140046.5300000003</v>
      </c>
      <c r="K86" s="211">
        <f t="shared" si="18"/>
        <v>2864867.669999999</v>
      </c>
      <c r="L86" s="211">
        <f t="shared" si="17"/>
        <v>8005486.3500000052</v>
      </c>
    </row>
    <row r="87" spans="4:12" x14ac:dyDescent="0.25">
      <c r="D87" s="205">
        <v>85</v>
      </c>
      <c r="E87" s="206">
        <v>43595</v>
      </c>
      <c r="F87" s="211">
        <f t="shared" si="12"/>
        <v>8005486.3500000052</v>
      </c>
      <c r="G87" s="212">
        <f t="shared" si="14"/>
        <v>47730.73</v>
      </c>
      <c r="H87" s="212">
        <f t="shared" si="15"/>
        <v>16042.350000000002</v>
      </c>
      <c r="I87" s="88">
        <f t="shared" si="16"/>
        <v>31688.38</v>
      </c>
      <c r="J87" s="213">
        <f t="shared" si="13"/>
        <v>1156025.6300000004</v>
      </c>
      <c r="K87" s="211">
        <f t="shared" si="18"/>
        <v>2896556.0499999989</v>
      </c>
      <c r="L87" s="211">
        <f t="shared" si="17"/>
        <v>7989444.0000000056</v>
      </c>
    </row>
    <row r="88" spans="4:12" x14ac:dyDescent="0.25">
      <c r="D88" s="205">
        <v>86</v>
      </c>
      <c r="E88" s="206">
        <v>43626</v>
      </c>
      <c r="F88" s="211">
        <f t="shared" si="12"/>
        <v>7989444.0000000056</v>
      </c>
      <c r="G88" s="212">
        <f t="shared" si="14"/>
        <v>47730.73</v>
      </c>
      <c r="H88" s="212">
        <f t="shared" si="15"/>
        <v>16105.850000000002</v>
      </c>
      <c r="I88" s="88">
        <f t="shared" si="16"/>
        <v>31624.880000000001</v>
      </c>
      <c r="J88" s="213">
        <f t="shared" si="13"/>
        <v>1172067.9800000004</v>
      </c>
      <c r="K88" s="211">
        <f t="shared" si="18"/>
        <v>2928180.9299999988</v>
      </c>
      <c r="L88" s="211">
        <f t="shared" si="17"/>
        <v>7973338.150000006</v>
      </c>
    </row>
    <row r="89" spans="4:12" x14ac:dyDescent="0.25">
      <c r="D89" s="205">
        <v>87</v>
      </c>
      <c r="E89" s="206">
        <v>43656</v>
      </c>
      <c r="F89" s="211">
        <f t="shared" si="12"/>
        <v>7973338.150000006</v>
      </c>
      <c r="G89" s="212">
        <f t="shared" si="14"/>
        <v>47730.73</v>
      </c>
      <c r="H89" s="212">
        <f t="shared" si="15"/>
        <v>16169.600000000002</v>
      </c>
      <c r="I89" s="88">
        <f t="shared" si="16"/>
        <v>31561.13</v>
      </c>
      <c r="J89" s="213">
        <f t="shared" si="13"/>
        <v>1188173.8300000005</v>
      </c>
      <c r="K89" s="211">
        <f t="shared" si="18"/>
        <v>2959742.0599999987</v>
      </c>
      <c r="L89" s="211">
        <f t="shared" si="17"/>
        <v>7957168.5500000063</v>
      </c>
    </row>
    <row r="90" spans="4:12" x14ac:dyDescent="0.25">
      <c r="D90" s="205">
        <v>88</v>
      </c>
      <c r="E90" s="206">
        <v>43687</v>
      </c>
      <c r="F90" s="211">
        <f t="shared" si="12"/>
        <v>7957168.5500000063</v>
      </c>
      <c r="G90" s="212">
        <f t="shared" si="14"/>
        <v>47730.73</v>
      </c>
      <c r="H90" s="212">
        <f t="shared" si="15"/>
        <v>16233.600000000002</v>
      </c>
      <c r="I90" s="88">
        <f t="shared" si="16"/>
        <v>31497.13</v>
      </c>
      <c r="J90" s="213">
        <f t="shared" si="13"/>
        <v>1204343.4300000006</v>
      </c>
      <c r="K90" s="211">
        <f t="shared" si="18"/>
        <v>2991239.1899999985</v>
      </c>
      <c r="L90" s="211">
        <f t="shared" si="17"/>
        <v>7940934.9500000067</v>
      </c>
    </row>
    <row r="91" spans="4:12" x14ac:dyDescent="0.25">
      <c r="D91" s="205">
        <v>89</v>
      </c>
      <c r="E91" s="206">
        <v>43718</v>
      </c>
      <c r="F91" s="211">
        <f t="shared" si="12"/>
        <v>7940934.9500000067</v>
      </c>
      <c r="G91" s="212">
        <f t="shared" si="14"/>
        <v>47730.73</v>
      </c>
      <c r="H91" s="212">
        <f t="shared" si="15"/>
        <v>16297.860000000004</v>
      </c>
      <c r="I91" s="88">
        <f t="shared" si="16"/>
        <v>31432.87</v>
      </c>
      <c r="J91" s="213">
        <f t="shared" si="13"/>
        <v>1220577.0300000007</v>
      </c>
      <c r="K91" s="211">
        <f t="shared" si="18"/>
        <v>3022672.0599999987</v>
      </c>
      <c r="L91" s="211">
        <f t="shared" si="17"/>
        <v>7924637.0900000064</v>
      </c>
    </row>
    <row r="92" spans="4:12" x14ac:dyDescent="0.25">
      <c r="D92" s="205">
        <v>90</v>
      </c>
      <c r="E92" s="206">
        <v>43748</v>
      </c>
      <c r="F92" s="211">
        <f t="shared" si="12"/>
        <v>7924637.0900000064</v>
      </c>
      <c r="G92" s="212">
        <f t="shared" si="14"/>
        <v>47730.73</v>
      </c>
      <c r="H92" s="212">
        <f t="shared" si="15"/>
        <v>16362.370000000003</v>
      </c>
      <c r="I92" s="88">
        <f t="shared" si="16"/>
        <v>31368.36</v>
      </c>
      <c r="J92" s="213">
        <f t="shared" si="13"/>
        <v>1236874.8900000008</v>
      </c>
      <c r="K92" s="211">
        <f t="shared" si="18"/>
        <v>3054040.4199999985</v>
      </c>
      <c r="L92" s="211">
        <f t="shared" si="17"/>
        <v>7908274.7200000063</v>
      </c>
    </row>
    <row r="93" spans="4:12" x14ac:dyDescent="0.25">
      <c r="D93" s="205">
        <v>91</v>
      </c>
      <c r="E93" s="206">
        <v>43779</v>
      </c>
      <c r="F93" s="211">
        <f t="shared" si="12"/>
        <v>7908274.7200000063</v>
      </c>
      <c r="G93" s="212">
        <f t="shared" si="14"/>
        <v>47730.73</v>
      </c>
      <c r="H93" s="212">
        <f t="shared" si="15"/>
        <v>16427.140000000003</v>
      </c>
      <c r="I93" s="88">
        <f t="shared" si="16"/>
        <v>31303.59</v>
      </c>
      <c r="J93" s="213">
        <f t="shared" si="13"/>
        <v>1253237.2600000009</v>
      </c>
      <c r="K93" s="211">
        <f t="shared" si="18"/>
        <v>3085344.0099999984</v>
      </c>
      <c r="L93" s="211">
        <f t="shared" si="17"/>
        <v>7891847.5800000066</v>
      </c>
    </row>
    <row r="94" spans="4:12" x14ac:dyDescent="0.25">
      <c r="D94" s="205">
        <v>92</v>
      </c>
      <c r="E94" s="206">
        <v>43809</v>
      </c>
      <c r="F94" s="211">
        <f t="shared" si="12"/>
        <v>7891847.5800000066</v>
      </c>
      <c r="G94" s="212">
        <f t="shared" si="14"/>
        <v>47730.73</v>
      </c>
      <c r="H94" s="212">
        <f t="shared" si="15"/>
        <v>16492.170000000002</v>
      </c>
      <c r="I94" s="88">
        <f t="shared" si="16"/>
        <v>31238.560000000001</v>
      </c>
      <c r="J94" s="213">
        <f t="shared" si="13"/>
        <v>1269664.4000000008</v>
      </c>
      <c r="K94" s="211">
        <f t="shared" si="18"/>
        <v>3116582.5699999984</v>
      </c>
      <c r="L94" s="211">
        <f t="shared" si="17"/>
        <v>7875355.4100000067</v>
      </c>
    </row>
    <row r="95" spans="4:12" x14ac:dyDescent="0.25">
      <c r="D95" s="205">
        <v>93</v>
      </c>
      <c r="E95" s="206">
        <v>43840</v>
      </c>
      <c r="F95" s="211">
        <f t="shared" si="12"/>
        <v>7875355.4100000067</v>
      </c>
      <c r="G95" s="212">
        <f t="shared" si="14"/>
        <v>47730.73</v>
      </c>
      <c r="H95" s="212">
        <f t="shared" si="15"/>
        <v>16557.450000000004</v>
      </c>
      <c r="I95" s="88">
        <f t="shared" si="16"/>
        <v>31173.279999999999</v>
      </c>
      <c r="J95" s="213">
        <f t="shared" si="13"/>
        <v>1286156.5700000008</v>
      </c>
      <c r="K95" s="211">
        <f t="shared" si="18"/>
        <v>3147755.8499999982</v>
      </c>
      <c r="L95" s="211">
        <f t="shared" si="17"/>
        <v>7858797.9600000065</v>
      </c>
    </row>
    <row r="96" spans="4:12" x14ac:dyDescent="0.25">
      <c r="D96" s="205">
        <v>94</v>
      </c>
      <c r="E96" s="206">
        <v>43871</v>
      </c>
      <c r="F96" s="211">
        <f t="shared" si="12"/>
        <v>7858797.9600000065</v>
      </c>
      <c r="G96" s="212">
        <f t="shared" si="14"/>
        <v>47730.73</v>
      </c>
      <c r="H96" s="212">
        <f t="shared" si="15"/>
        <v>16622.990000000002</v>
      </c>
      <c r="I96" s="88">
        <f t="shared" si="16"/>
        <v>31107.74</v>
      </c>
      <c r="J96" s="213">
        <f t="shared" si="13"/>
        <v>1302714.0200000007</v>
      </c>
      <c r="K96" s="211">
        <f t="shared" si="18"/>
        <v>3178863.5899999985</v>
      </c>
      <c r="L96" s="211">
        <f t="shared" si="17"/>
        <v>7842174.9700000063</v>
      </c>
    </row>
    <row r="97" spans="4:12" x14ac:dyDescent="0.25">
      <c r="D97" s="205">
        <v>95</v>
      </c>
      <c r="E97" s="206">
        <v>43900</v>
      </c>
      <c r="F97" s="211">
        <f t="shared" si="12"/>
        <v>7842174.9700000063</v>
      </c>
      <c r="G97" s="212">
        <f t="shared" si="14"/>
        <v>47730.73</v>
      </c>
      <c r="H97" s="212">
        <f t="shared" si="15"/>
        <v>16688.790000000005</v>
      </c>
      <c r="I97" s="88">
        <f t="shared" si="16"/>
        <v>31041.94</v>
      </c>
      <c r="J97" s="213">
        <f t="shared" si="13"/>
        <v>1319337.0100000007</v>
      </c>
      <c r="K97" s="211">
        <f t="shared" si="18"/>
        <v>3209905.5299999984</v>
      </c>
      <c r="L97" s="211">
        <f t="shared" si="17"/>
        <v>7825486.1800000062</v>
      </c>
    </row>
    <row r="98" spans="4:12" x14ac:dyDescent="0.25">
      <c r="D98" s="205">
        <v>96</v>
      </c>
      <c r="E98" s="206">
        <v>43931</v>
      </c>
      <c r="F98" s="211">
        <f t="shared" si="12"/>
        <v>7825486.1800000062</v>
      </c>
      <c r="G98" s="212">
        <f t="shared" si="14"/>
        <v>47730.73</v>
      </c>
      <c r="H98" s="212">
        <f t="shared" si="15"/>
        <v>16754.850000000002</v>
      </c>
      <c r="I98" s="88">
        <f t="shared" si="16"/>
        <v>30975.88</v>
      </c>
      <c r="J98" s="213">
        <f t="shared" si="13"/>
        <v>1336025.8000000007</v>
      </c>
      <c r="K98" s="211">
        <f t="shared" si="18"/>
        <v>3240881.4099999983</v>
      </c>
      <c r="L98" s="211">
        <f t="shared" si="17"/>
        <v>7808731.3300000066</v>
      </c>
    </row>
    <row r="99" spans="4:12" x14ac:dyDescent="0.25">
      <c r="D99" s="205">
        <v>97</v>
      </c>
      <c r="E99" s="206">
        <v>43961</v>
      </c>
      <c r="F99" s="211">
        <f t="shared" si="12"/>
        <v>7808731.3300000066</v>
      </c>
      <c r="G99" s="212">
        <f t="shared" si="14"/>
        <v>47730.73</v>
      </c>
      <c r="H99" s="212">
        <f t="shared" si="15"/>
        <v>16821.170000000002</v>
      </c>
      <c r="I99" s="88">
        <f t="shared" si="16"/>
        <v>30909.56</v>
      </c>
      <c r="J99" s="213">
        <f t="shared" si="13"/>
        <v>1352780.6500000008</v>
      </c>
      <c r="K99" s="211">
        <f t="shared" si="18"/>
        <v>3271790.9699999983</v>
      </c>
      <c r="L99" s="211">
        <f t="shared" si="17"/>
        <v>7791910.1600000067</v>
      </c>
    </row>
    <row r="100" spans="4:12" x14ac:dyDescent="0.25">
      <c r="D100" s="205">
        <v>98</v>
      </c>
      <c r="E100" s="206">
        <v>43992</v>
      </c>
      <c r="F100" s="211">
        <f t="shared" si="12"/>
        <v>7791910.1600000067</v>
      </c>
      <c r="G100" s="212">
        <f t="shared" si="14"/>
        <v>47730.73</v>
      </c>
      <c r="H100" s="212">
        <f t="shared" si="15"/>
        <v>16887.750000000004</v>
      </c>
      <c r="I100" s="88">
        <f t="shared" si="16"/>
        <v>30842.98</v>
      </c>
      <c r="J100" s="213">
        <f t="shared" si="13"/>
        <v>1369601.8200000008</v>
      </c>
      <c r="K100" s="211">
        <f t="shared" si="18"/>
        <v>3302633.9499999983</v>
      </c>
      <c r="L100" s="211">
        <f t="shared" si="17"/>
        <v>7775022.4100000067</v>
      </c>
    </row>
    <row r="101" spans="4:12" x14ac:dyDescent="0.25">
      <c r="D101" s="205">
        <v>99</v>
      </c>
      <c r="E101" s="206">
        <v>44022</v>
      </c>
      <c r="F101" s="211">
        <f t="shared" si="12"/>
        <v>7775022.4100000067</v>
      </c>
      <c r="G101" s="212">
        <f t="shared" si="14"/>
        <v>47730.73</v>
      </c>
      <c r="H101" s="212">
        <f t="shared" si="15"/>
        <v>16954.600000000002</v>
      </c>
      <c r="I101" s="88">
        <f t="shared" si="16"/>
        <v>30776.13</v>
      </c>
      <c r="J101" s="213">
        <f t="shared" si="13"/>
        <v>1386489.5700000008</v>
      </c>
      <c r="K101" s="211">
        <f t="shared" si="18"/>
        <v>3333410.0799999982</v>
      </c>
      <c r="L101" s="211">
        <f t="shared" si="17"/>
        <v>7758067.810000007</v>
      </c>
    </row>
    <row r="102" spans="4:12" x14ac:dyDescent="0.25">
      <c r="D102" s="205">
        <v>100</v>
      </c>
      <c r="E102" s="206">
        <v>44053</v>
      </c>
      <c r="F102" s="211">
        <f t="shared" si="12"/>
        <v>7758067.810000007</v>
      </c>
      <c r="G102" s="212">
        <f t="shared" si="14"/>
        <v>47730.73</v>
      </c>
      <c r="H102" s="212">
        <f t="shared" si="15"/>
        <v>17021.710000000003</v>
      </c>
      <c r="I102" s="88">
        <f t="shared" si="16"/>
        <v>30709.02</v>
      </c>
      <c r="J102" s="213">
        <f t="shared" si="13"/>
        <v>1403444.1700000009</v>
      </c>
      <c r="K102" s="211">
        <f t="shared" si="18"/>
        <v>3364119.0999999982</v>
      </c>
      <c r="L102" s="211">
        <f t="shared" si="17"/>
        <v>7741046.1000000071</v>
      </c>
    </row>
    <row r="103" spans="4:12" x14ac:dyDescent="0.25">
      <c r="D103" s="205">
        <v>101</v>
      </c>
      <c r="E103" s="206">
        <v>44084</v>
      </c>
      <c r="F103" s="211">
        <f t="shared" si="12"/>
        <v>7741046.1000000071</v>
      </c>
      <c r="G103" s="212">
        <f t="shared" si="14"/>
        <v>47730.73</v>
      </c>
      <c r="H103" s="212">
        <f t="shared" si="15"/>
        <v>17089.090000000004</v>
      </c>
      <c r="I103" s="88">
        <f t="shared" si="16"/>
        <v>30641.64</v>
      </c>
      <c r="J103" s="213">
        <f t="shared" si="13"/>
        <v>1420465.8800000008</v>
      </c>
      <c r="K103" s="211">
        <f t="shared" si="18"/>
        <v>3394760.7399999984</v>
      </c>
      <c r="L103" s="211">
        <f t="shared" si="17"/>
        <v>7723957.0100000072</v>
      </c>
    </row>
    <row r="104" spans="4:12" x14ac:dyDescent="0.25">
      <c r="D104" s="205">
        <v>102</v>
      </c>
      <c r="E104" s="206">
        <v>44114</v>
      </c>
      <c r="F104" s="211">
        <f t="shared" si="12"/>
        <v>7723957.0100000072</v>
      </c>
      <c r="G104" s="212">
        <f t="shared" si="14"/>
        <v>47730.73</v>
      </c>
      <c r="H104" s="212">
        <f t="shared" si="15"/>
        <v>17156.730000000003</v>
      </c>
      <c r="I104" s="88">
        <f t="shared" si="16"/>
        <v>30574</v>
      </c>
      <c r="J104" s="213">
        <f t="shared" si="13"/>
        <v>1437554.9700000009</v>
      </c>
      <c r="K104" s="211">
        <f t="shared" si="18"/>
        <v>3425334.7399999984</v>
      </c>
      <c r="L104" s="211">
        <f t="shared" si="17"/>
        <v>7706800.2800000068</v>
      </c>
    </row>
    <row r="105" spans="4:12" x14ac:dyDescent="0.25">
      <c r="D105" s="205">
        <v>103</v>
      </c>
      <c r="E105" s="206">
        <v>44145</v>
      </c>
      <c r="F105" s="211">
        <f t="shared" si="12"/>
        <v>7706800.2800000068</v>
      </c>
      <c r="G105" s="212">
        <f t="shared" si="14"/>
        <v>47730.73</v>
      </c>
      <c r="H105" s="212">
        <f t="shared" si="15"/>
        <v>17224.650000000001</v>
      </c>
      <c r="I105" s="88">
        <f t="shared" si="16"/>
        <v>30506.080000000002</v>
      </c>
      <c r="J105" s="213">
        <f t="shared" si="13"/>
        <v>1454711.7000000009</v>
      </c>
      <c r="K105" s="211">
        <f t="shared" si="18"/>
        <v>3455840.8199999984</v>
      </c>
      <c r="L105" s="211">
        <f t="shared" si="17"/>
        <v>7689575.6300000064</v>
      </c>
    </row>
    <row r="106" spans="4:12" x14ac:dyDescent="0.25">
      <c r="D106" s="205">
        <v>104</v>
      </c>
      <c r="E106" s="206">
        <v>44175</v>
      </c>
      <c r="F106" s="211">
        <f t="shared" si="12"/>
        <v>7689575.6300000064</v>
      </c>
      <c r="G106" s="212">
        <f t="shared" si="14"/>
        <v>47730.73</v>
      </c>
      <c r="H106" s="212">
        <f t="shared" si="15"/>
        <v>17292.830000000002</v>
      </c>
      <c r="I106" s="88">
        <f t="shared" si="16"/>
        <v>30437.9</v>
      </c>
      <c r="J106" s="213">
        <f t="shared" si="13"/>
        <v>1471936.3500000008</v>
      </c>
      <c r="K106" s="211">
        <f t="shared" si="18"/>
        <v>3486278.7199999983</v>
      </c>
      <c r="L106" s="211">
        <f t="shared" si="17"/>
        <v>7672282.8000000063</v>
      </c>
    </row>
    <row r="107" spans="4:12" x14ac:dyDescent="0.25">
      <c r="D107" s="205">
        <v>105</v>
      </c>
      <c r="E107" s="206">
        <v>44206</v>
      </c>
      <c r="F107" s="211">
        <f t="shared" si="12"/>
        <v>7672282.8000000063</v>
      </c>
      <c r="G107" s="212">
        <f t="shared" si="14"/>
        <v>47730.73</v>
      </c>
      <c r="H107" s="212">
        <f t="shared" si="15"/>
        <v>17361.280000000002</v>
      </c>
      <c r="I107" s="88">
        <f t="shared" si="16"/>
        <v>30369.45</v>
      </c>
      <c r="J107" s="213">
        <f t="shared" si="13"/>
        <v>1489229.1800000009</v>
      </c>
      <c r="K107" s="211">
        <f t="shared" si="18"/>
        <v>3516648.1699999985</v>
      </c>
      <c r="L107" s="211">
        <f t="shared" si="17"/>
        <v>7654921.5200000061</v>
      </c>
    </row>
    <row r="108" spans="4:12" x14ac:dyDescent="0.25">
      <c r="D108" s="205">
        <v>106</v>
      </c>
      <c r="E108" s="206">
        <v>44237</v>
      </c>
      <c r="F108" s="211">
        <f t="shared" si="12"/>
        <v>7654921.5200000061</v>
      </c>
      <c r="G108" s="212">
        <f t="shared" si="14"/>
        <v>47730.73</v>
      </c>
      <c r="H108" s="212">
        <f t="shared" si="15"/>
        <v>17430.000000000004</v>
      </c>
      <c r="I108" s="88">
        <f t="shared" si="16"/>
        <v>30300.73</v>
      </c>
      <c r="J108" s="213">
        <f t="shared" si="13"/>
        <v>1506590.4600000009</v>
      </c>
      <c r="K108" s="211">
        <f t="shared" si="18"/>
        <v>3546948.8999999985</v>
      </c>
      <c r="L108" s="211">
        <f t="shared" si="17"/>
        <v>7637491.5200000061</v>
      </c>
    </row>
    <row r="109" spans="4:12" x14ac:dyDescent="0.25">
      <c r="D109" s="205">
        <v>107</v>
      </c>
      <c r="E109" s="206">
        <v>44265</v>
      </c>
      <c r="F109" s="211">
        <f t="shared" si="12"/>
        <v>7637491.5200000061</v>
      </c>
      <c r="G109" s="212">
        <f t="shared" si="14"/>
        <v>47730.73</v>
      </c>
      <c r="H109" s="212">
        <f t="shared" si="15"/>
        <v>17498.990000000002</v>
      </c>
      <c r="I109" s="88">
        <f t="shared" si="16"/>
        <v>30231.74</v>
      </c>
      <c r="J109" s="213">
        <f t="shared" si="13"/>
        <v>1524020.4600000009</v>
      </c>
      <c r="K109" s="211">
        <f t="shared" si="18"/>
        <v>3577180.6399999987</v>
      </c>
      <c r="L109" s="211">
        <f t="shared" si="17"/>
        <v>7619992.5300000058</v>
      </c>
    </row>
    <row r="110" spans="4:12" x14ac:dyDescent="0.25">
      <c r="D110" s="205">
        <v>108</v>
      </c>
      <c r="E110" s="206">
        <v>44296</v>
      </c>
      <c r="F110" s="211">
        <f t="shared" si="12"/>
        <v>7619992.5300000058</v>
      </c>
      <c r="G110" s="212">
        <f t="shared" si="14"/>
        <v>47730.73</v>
      </c>
      <c r="H110" s="212">
        <f t="shared" si="15"/>
        <v>17568.260000000002</v>
      </c>
      <c r="I110" s="88">
        <f t="shared" si="16"/>
        <v>30162.47</v>
      </c>
      <c r="J110" s="213">
        <f t="shared" si="13"/>
        <v>1541519.4500000009</v>
      </c>
      <c r="K110" s="211">
        <f t="shared" si="18"/>
        <v>3607343.1099999989</v>
      </c>
      <c r="L110" s="211">
        <f t="shared" si="17"/>
        <v>7602424.2700000061</v>
      </c>
    </row>
    <row r="111" spans="4:12" x14ac:dyDescent="0.25">
      <c r="D111" s="205">
        <v>109</v>
      </c>
      <c r="E111" s="206">
        <v>44326</v>
      </c>
      <c r="F111" s="211">
        <f t="shared" si="12"/>
        <v>7602424.2700000061</v>
      </c>
      <c r="G111" s="212">
        <f t="shared" si="14"/>
        <v>47730.73</v>
      </c>
      <c r="H111" s="212">
        <f t="shared" si="15"/>
        <v>17637.800000000003</v>
      </c>
      <c r="I111" s="88">
        <f t="shared" si="16"/>
        <v>30092.93</v>
      </c>
      <c r="J111" s="213">
        <f t="shared" si="13"/>
        <v>1559087.7100000009</v>
      </c>
      <c r="K111" s="211">
        <f t="shared" si="18"/>
        <v>3637436.0399999991</v>
      </c>
      <c r="L111" s="211">
        <f t="shared" si="17"/>
        <v>7584786.4700000063</v>
      </c>
    </row>
    <row r="112" spans="4:12" x14ac:dyDescent="0.25">
      <c r="D112" s="205">
        <v>110</v>
      </c>
      <c r="E112" s="206">
        <v>44357</v>
      </c>
      <c r="F112" s="211">
        <f t="shared" si="12"/>
        <v>7584786.4700000063</v>
      </c>
      <c r="G112" s="212">
        <f t="shared" si="14"/>
        <v>47730.73</v>
      </c>
      <c r="H112" s="212">
        <f t="shared" si="15"/>
        <v>17707.620000000003</v>
      </c>
      <c r="I112" s="88">
        <f t="shared" si="16"/>
        <v>30023.11</v>
      </c>
      <c r="J112" s="213">
        <f t="shared" si="13"/>
        <v>1576725.5100000009</v>
      </c>
      <c r="K112" s="211">
        <f t="shared" si="18"/>
        <v>3667459.149999999</v>
      </c>
      <c r="L112" s="211">
        <f t="shared" si="17"/>
        <v>7567078.8500000061</v>
      </c>
    </row>
    <row r="113" spans="4:12" x14ac:dyDescent="0.25">
      <c r="D113" s="205">
        <v>111</v>
      </c>
      <c r="E113" s="206">
        <v>44387</v>
      </c>
      <c r="F113" s="211">
        <f t="shared" si="12"/>
        <v>7567078.8500000061</v>
      </c>
      <c r="G113" s="212">
        <f t="shared" si="14"/>
        <v>47730.73</v>
      </c>
      <c r="H113" s="212">
        <f t="shared" si="15"/>
        <v>17777.710000000003</v>
      </c>
      <c r="I113" s="88">
        <f t="shared" si="16"/>
        <v>29953.02</v>
      </c>
      <c r="J113" s="213">
        <f t="shared" si="13"/>
        <v>1594433.1300000011</v>
      </c>
      <c r="K113" s="211">
        <f t="shared" si="18"/>
        <v>3697412.169999999</v>
      </c>
      <c r="L113" s="211">
        <f t="shared" si="17"/>
        <v>7549301.1400000062</v>
      </c>
    </row>
    <row r="114" spans="4:12" x14ac:dyDescent="0.25">
      <c r="D114" s="205">
        <v>112</v>
      </c>
      <c r="E114" s="206">
        <v>44418</v>
      </c>
      <c r="F114" s="211">
        <f t="shared" si="12"/>
        <v>7549301.1400000062</v>
      </c>
      <c r="G114" s="212">
        <f t="shared" si="14"/>
        <v>47730.73</v>
      </c>
      <c r="H114" s="212">
        <f t="shared" si="15"/>
        <v>17848.080000000002</v>
      </c>
      <c r="I114" s="88">
        <f t="shared" si="16"/>
        <v>29882.65</v>
      </c>
      <c r="J114" s="213">
        <f t="shared" si="13"/>
        <v>1612210.840000001</v>
      </c>
      <c r="K114" s="211">
        <f t="shared" si="18"/>
        <v>3727294.8199999989</v>
      </c>
      <c r="L114" s="211">
        <f t="shared" si="17"/>
        <v>7531453.0600000061</v>
      </c>
    </row>
    <row r="115" spans="4:12" x14ac:dyDescent="0.25">
      <c r="D115" s="205">
        <v>113</v>
      </c>
      <c r="E115" s="206">
        <v>44449</v>
      </c>
      <c r="F115" s="211">
        <f t="shared" si="12"/>
        <v>7531453.0600000061</v>
      </c>
      <c r="G115" s="212">
        <f t="shared" si="14"/>
        <v>47730.73</v>
      </c>
      <c r="H115" s="212">
        <f t="shared" si="15"/>
        <v>17918.730000000003</v>
      </c>
      <c r="I115" s="88">
        <f t="shared" si="16"/>
        <v>29812</v>
      </c>
      <c r="J115" s="213">
        <f t="shared" si="13"/>
        <v>1630058.9200000011</v>
      </c>
      <c r="K115" s="211">
        <f t="shared" si="18"/>
        <v>3757106.8199999989</v>
      </c>
      <c r="L115" s="211">
        <f t="shared" si="17"/>
        <v>7513534.3300000057</v>
      </c>
    </row>
    <row r="116" spans="4:12" x14ac:dyDescent="0.25">
      <c r="D116" s="205">
        <v>114</v>
      </c>
      <c r="E116" s="206">
        <v>44479</v>
      </c>
      <c r="F116" s="211">
        <f t="shared" si="12"/>
        <v>7513534.3300000057</v>
      </c>
      <c r="G116" s="212">
        <f t="shared" si="14"/>
        <v>47730.73</v>
      </c>
      <c r="H116" s="212">
        <f t="shared" si="15"/>
        <v>17989.660000000003</v>
      </c>
      <c r="I116" s="88">
        <f t="shared" si="16"/>
        <v>29741.07</v>
      </c>
      <c r="J116" s="213">
        <f t="shared" si="13"/>
        <v>1647977.6500000011</v>
      </c>
      <c r="K116" s="211">
        <f t="shared" si="18"/>
        <v>3786847.8899999987</v>
      </c>
      <c r="L116" s="211">
        <f t="shared" si="17"/>
        <v>7495544.6700000055</v>
      </c>
    </row>
    <row r="117" spans="4:12" x14ac:dyDescent="0.25">
      <c r="D117" s="205">
        <v>115</v>
      </c>
      <c r="E117" s="206">
        <v>44510</v>
      </c>
      <c r="F117" s="211">
        <f t="shared" si="12"/>
        <v>7495544.6700000055</v>
      </c>
      <c r="G117" s="212">
        <f t="shared" si="14"/>
        <v>47730.73</v>
      </c>
      <c r="H117" s="212">
        <f t="shared" si="15"/>
        <v>18060.870000000003</v>
      </c>
      <c r="I117" s="88">
        <f t="shared" si="16"/>
        <v>29669.86</v>
      </c>
      <c r="J117" s="213">
        <f t="shared" si="13"/>
        <v>1665967.310000001</v>
      </c>
      <c r="K117" s="211">
        <f t="shared" si="18"/>
        <v>3816517.7499999986</v>
      </c>
      <c r="L117" s="211">
        <f t="shared" si="17"/>
        <v>7477483.8000000054</v>
      </c>
    </row>
    <row r="118" spans="4:12" x14ac:dyDescent="0.25">
      <c r="D118" s="205">
        <v>116</v>
      </c>
      <c r="E118" s="206">
        <v>44540</v>
      </c>
      <c r="F118" s="211">
        <f t="shared" si="12"/>
        <v>7477483.8000000054</v>
      </c>
      <c r="G118" s="212">
        <f t="shared" si="14"/>
        <v>47730.73</v>
      </c>
      <c r="H118" s="212">
        <f t="shared" si="15"/>
        <v>18132.360000000004</v>
      </c>
      <c r="I118" s="88">
        <f t="shared" si="16"/>
        <v>29598.37</v>
      </c>
      <c r="J118" s="213">
        <f t="shared" si="13"/>
        <v>1684028.1800000011</v>
      </c>
      <c r="K118" s="211">
        <f t="shared" si="18"/>
        <v>3846116.1199999987</v>
      </c>
      <c r="L118" s="211">
        <f t="shared" si="17"/>
        <v>7459351.4400000051</v>
      </c>
    </row>
    <row r="119" spans="4:12" x14ac:dyDescent="0.25">
      <c r="D119" s="205">
        <v>117</v>
      </c>
      <c r="E119" s="206">
        <v>44571</v>
      </c>
      <c r="F119" s="211">
        <f t="shared" si="12"/>
        <v>7459351.4400000051</v>
      </c>
      <c r="G119" s="212">
        <f t="shared" si="14"/>
        <v>47730.73</v>
      </c>
      <c r="H119" s="212">
        <f t="shared" si="15"/>
        <v>18204.130000000005</v>
      </c>
      <c r="I119" s="88">
        <f t="shared" si="16"/>
        <v>29526.6</v>
      </c>
      <c r="J119" s="213">
        <f t="shared" si="13"/>
        <v>1702160.5400000012</v>
      </c>
      <c r="K119" s="211">
        <f t="shared" si="18"/>
        <v>3875642.7199999988</v>
      </c>
      <c r="L119" s="211">
        <f t="shared" si="17"/>
        <v>7441147.3100000052</v>
      </c>
    </row>
    <row r="120" spans="4:12" x14ac:dyDescent="0.25">
      <c r="D120" s="205">
        <v>118</v>
      </c>
      <c r="E120" s="206">
        <v>44602</v>
      </c>
      <c r="F120" s="211">
        <f t="shared" si="12"/>
        <v>7441147.3100000052</v>
      </c>
      <c r="G120" s="212">
        <f t="shared" si="14"/>
        <v>47730.73</v>
      </c>
      <c r="H120" s="212">
        <f t="shared" si="15"/>
        <v>18276.190000000002</v>
      </c>
      <c r="I120" s="88">
        <f t="shared" si="16"/>
        <v>29454.54</v>
      </c>
      <c r="J120" s="213">
        <f t="shared" si="13"/>
        <v>1720364.6700000013</v>
      </c>
      <c r="K120" s="211">
        <f t="shared" si="18"/>
        <v>3905097.2599999988</v>
      </c>
      <c r="L120" s="211">
        <f t="shared" si="17"/>
        <v>7422871.1200000048</v>
      </c>
    </row>
    <row r="121" spans="4:12" x14ac:dyDescent="0.25">
      <c r="D121" s="205">
        <v>119</v>
      </c>
      <c r="E121" s="206">
        <v>44630</v>
      </c>
      <c r="F121" s="211">
        <f t="shared" si="12"/>
        <v>7422871.1200000048</v>
      </c>
      <c r="G121" s="212">
        <f t="shared" si="14"/>
        <v>47730.73</v>
      </c>
      <c r="H121" s="212">
        <f t="shared" si="15"/>
        <v>18348.530000000002</v>
      </c>
      <c r="I121" s="88">
        <f t="shared" si="16"/>
        <v>29382.2</v>
      </c>
      <c r="J121" s="213">
        <f t="shared" si="13"/>
        <v>1738640.8600000013</v>
      </c>
      <c r="K121" s="211">
        <f t="shared" si="18"/>
        <v>3934479.459999999</v>
      </c>
      <c r="L121" s="211">
        <f t="shared" si="17"/>
        <v>7404522.5900000045</v>
      </c>
    </row>
    <row r="122" spans="4:12" x14ac:dyDescent="0.25">
      <c r="D122" s="205">
        <v>120</v>
      </c>
      <c r="E122" s="206">
        <v>44661</v>
      </c>
      <c r="F122" s="211">
        <f t="shared" si="12"/>
        <v>7404522.5900000045</v>
      </c>
      <c r="G122" s="212">
        <f t="shared" si="14"/>
        <v>47730.73</v>
      </c>
      <c r="H122" s="212">
        <f t="shared" si="15"/>
        <v>18421.160000000003</v>
      </c>
      <c r="I122" s="88">
        <f t="shared" si="16"/>
        <v>29309.57</v>
      </c>
      <c r="J122" s="213">
        <f t="shared" si="13"/>
        <v>1756989.3900000013</v>
      </c>
      <c r="K122" s="211">
        <f t="shared" si="18"/>
        <v>3963789.0299999989</v>
      </c>
      <c r="L122" s="211">
        <f t="shared" si="17"/>
        <v>7386101.4300000044</v>
      </c>
    </row>
    <row r="123" spans="4:12" x14ac:dyDescent="0.25">
      <c r="D123" s="205">
        <v>121</v>
      </c>
      <c r="E123" s="206">
        <v>44691</v>
      </c>
      <c r="F123" s="211">
        <f t="shared" si="12"/>
        <v>7386101.4300000044</v>
      </c>
      <c r="G123" s="212">
        <f t="shared" si="14"/>
        <v>47730.73</v>
      </c>
      <c r="H123" s="212">
        <f t="shared" si="15"/>
        <v>18494.080000000002</v>
      </c>
      <c r="I123" s="88">
        <f t="shared" si="16"/>
        <v>29236.65</v>
      </c>
      <c r="J123" s="213">
        <f t="shared" si="13"/>
        <v>1775410.5500000012</v>
      </c>
      <c r="K123" s="211">
        <f t="shared" si="18"/>
        <v>3993025.6799999988</v>
      </c>
      <c r="L123" s="211">
        <f t="shared" si="17"/>
        <v>7367607.3500000043</v>
      </c>
    </row>
    <row r="124" spans="4:12" x14ac:dyDescent="0.25">
      <c r="D124" s="205">
        <v>122</v>
      </c>
      <c r="E124" s="206">
        <v>44722</v>
      </c>
      <c r="F124" s="211">
        <f t="shared" si="12"/>
        <v>7367607.3500000043</v>
      </c>
      <c r="G124" s="212">
        <f t="shared" si="14"/>
        <v>47730.73</v>
      </c>
      <c r="H124" s="212">
        <f t="shared" si="15"/>
        <v>18567.280000000002</v>
      </c>
      <c r="I124" s="88">
        <f t="shared" si="16"/>
        <v>29163.45</v>
      </c>
      <c r="J124" s="213">
        <f t="shared" si="13"/>
        <v>1793904.6300000013</v>
      </c>
      <c r="K124" s="211">
        <f t="shared" si="18"/>
        <v>4022189.129999999</v>
      </c>
      <c r="L124" s="211">
        <f t="shared" si="17"/>
        <v>7349040.070000004</v>
      </c>
    </row>
    <row r="125" spans="4:12" x14ac:dyDescent="0.25">
      <c r="D125" s="205">
        <v>123</v>
      </c>
      <c r="E125" s="206">
        <v>44752</v>
      </c>
      <c r="F125" s="211">
        <f t="shared" si="12"/>
        <v>7349040.070000004</v>
      </c>
      <c r="G125" s="212">
        <f t="shared" si="14"/>
        <v>47730.73</v>
      </c>
      <c r="H125" s="212">
        <f t="shared" si="15"/>
        <v>18640.780000000002</v>
      </c>
      <c r="I125" s="88">
        <f t="shared" si="16"/>
        <v>29089.95</v>
      </c>
      <c r="J125" s="213">
        <f t="shared" si="13"/>
        <v>1812471.9100000013</v>
      </c>
      <c r="K125" s="211">
        <f t="shared" si="18"/>
        <v>4051279.0799999991</v>
      </c>
      <c r="L125" s="211">
        <f t="shared" si="17"/>
        <v>7330399.2900000038</v>
      </c>
    </row>
    <row r="126" spans="4:12" x14ac:dyDescent="0.25">
      <c r="D126" s="205">
        <v>124</v>
      </c>
      <c r="E126" s="206">
        <v>44783</v>
      </c>
      <c r="F126" s="211">
        <f t="shared" si="12"/>
        <v>7330399.2900000038</v>
      </c>
      <c r="G126" s="212">
        <f t="shared" si="14"/>
        <v>47730.73</v>
      </c>
      <c r="H126" s="212">
        <f t="shared" si="15"/>
        <v>18714.570000000003</v>
      </c>
      <c r="I126" s="88">
        <f t="shared" si="16"/>
        <v>29016.16</v>
      </c>
      <c r="J126" s="213">
        <f t="shared" si="13"/>
        <v>1831112.6900000013</v>
      </c>
      <c r="K126" s="211">
        <f t="shared" si="18"/>
        <v>4080295.2399999993</v>
      </c>
      <c r="L126" s="211">
        <f t="shared" si="17"/>
        <v>7311684.7200000035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57"/>
  <sheetViews>
    <sheetView view="pageBreakPreview" zoomScale="112" zoomScaleNormal="100" zoomScaleSheetLayoutView="112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1" sqref="L11"/>
    </sheetView>
  </sheetViews>
  <sheetFormatPr defaultRowHeight="15" x14ac:dyDescent="0.25"/>
  <cols>
    <col min="1" max="1" width="36.42578125" style="54" customWidth="1"/>
    <col min="2" max="2" width="15.5703125" style="54" bestFit="1" customWidth="1"/>
    <col min="3" max="3" width="5.7109375" style="54" customWidth="1"/>
    <col min="4" max="4" width="5.42578125" style="54" customWidth="1"/>
    <col min="5" max="5" width="6.28515625" style="59" customWidth="1"/>
    <col min="6" max="6" width="10.7109375" style="60" customWidth="1"/>
    <col min="7" max="7" width="19.140625" style="54" customWidth="1"/>
    <col min="8" max="8" width="13.7109375" style="62" customWidth="1"/>
    <col min="9" max="9" width="12.42578125" style="62" customWidth="1"/>
    <col min="10" max="10" width="13.7109375" style="62" customWidth="1"/>
    <col min="11" max="11" width="15.85546875" style="54" customWidth="1"/>
    <col min="12" max="12" width="15.5703125" style="54" customWidth="1"/>
    <col min="13" max="13" width="14.28515625" style="54" bestFit="1" customWidth="1"/>
    <col min="14" max="14" width="9.140625" style="54"/>
    <col min="15" max="15" width="19.5703125" style="54" bestFit="1" customWidth="1"/>
    <col min="16" max="16" width="15" style="54" customWidth="1"/>
    <col min="17" max="16384" width="9.140625" style="54"/>
  </cols>
  <sheetData>
    <row r="2" spans="1:16" ht="30" x14ac:dyDescent="0.25">
      <c r="E2" s="55"/>
      <c r="F2" s="56" t="s">
        <v>287</v>
      </c>
      <c r="G2" s="55" t="s">
        <v>184</v>
      </c>
      <c r="H2" s="57" t="s">
        <v>288</v>
      </c>
      <c r="I2" s="57" t="s">
        <v>289</v>
      </c>
      <c r="J2" s="57" t="s">
        <v>290</v>
      </c>
      <c r="K2" s="55" t="s">
        <v>291</v>
      </c>
      <c r="L2" s="55" t="s">
        <v>292</v>
      </c>
      <c r="M2" s="55" t="s">
        <v>183</v>
      </c>
    </row>
    <row r="3" spans="1:16" x14ac:dyDescent="0.25">
      <c r="A3" s="54" t="s">
        <v>293</v>
      </c>
      <c r="B3" s="58">
        <v>1.49E-2</v>
      </c>
      <c r="E3" s="59">
        <v>1</v>
      </c>
      <c r="F3" s="60">
        <v>42470</v>
      </c>
      <c r="G3" s="61">
        <f>$B$14</f>
        <v>4000000</v>
      </c>
      <c r="H3" s="62">
        <f t="shared" ref="H3:H57" si="0">$B$17</f>
        <v>19096.61</v>
      </c>
      <c r="I3" s="62">
        <f>$H3-$J3</f>
        <v>5763.2800000000007</v>
      </c>
      <c r="J3" s="62">
        <f t="shared" ref="J3:J57" si="1">ROUND($G3*($B$15/12), 2)</f>
        <v>13333.33</v>
      </c>
      <c r="K3" s="62">
        <f>I3</f>
        <v>5763.2800000000007</v>
      </c>
      <c r="L3" s="62">
        <f>J3</f>
        <v>13333.33</v>
      </c>
      <c r="M3" s="61">
        <f>$G3-$I3</f>
        <v>3994236.72</v>
      </c>
    </row>
    <row r="4" spans="1:16" x14ac:dyDescent="0.25">
      <c r="A4" s="54" t="s">
        <v>294</v>
      </c>
      <c r="B4" s="58">
        <v>0.03</v>
      </c>
      <c r="E4" s="59">
        <v>2</v>
      </c>
      <c r="F4" s="60">
        <v>42500</v>
      </c>
      <c r="G4" s="61">
        <f>$M3</f>
        <v>3994236.72</v>
      </c>
      <c r="H4" s="62">
        <f t="shared" si="0"/>
        <v>19096.61</v>
      </c>
      <c r="I4" s="62">
        <f t="shared" ref="I4:I57" si="2">$H4-$J4</f>
        <v>5782.49</v>
      </c>
      <c r="J4" s="62">
        <f t="shared" si="1"/>
        <v>13314.12</v>
      </c>
      <c r="K4" s="61">
        <f>$I4+$K3</f>
        <v>11545.77</v>
      </c>
      <c r="L4" s="61">
        <f>$J4+$L3</f>
        <v>26647.45</v>
      </c>
      <c r="M4" s="61">
        <f t="shared" ref="M4:M57" si="3">$G4-$I4</f>
        <v>3988454.23</v>
      </c>
    </row>
    <row r="5" spans="1:16" x14ac:dyDescent="0.25">
      <c r="A5" s="54" t="s">
        <v>278</v>
      </c>
      <c r="B5" s="63">
        <v>0</v>
      </c>
      <c r="E5" s="59">
        <v>3</v>
      </c>
      <c r="F5" s="60">
        <v>42531</v>
      </c>
      <c r="G5" s="61">
        <f t="shared" ref="G5:G57" si="4">$M4</f>
        <v>3988454.23</v>
      </c>
      <c r="H5" s="62">
        <f t="shared" si="0"/>
        <v>19096.61</v>
      </c>
      <c r="I5" s="62">
        <f t="shared" si="2"/>
        <v>5801.76</v>
      </c>
      <c r="J5" s="62">
        <f t="shared" si="1"/>
        <v>13294.85</v>
      </c>
      <c r="K5" s="61">
        <f t="shared" ref="K5:K57" si="5">$I5+$K4</f>
        <v>17347.53</v>
      </c>
      <c r="L5" s="61">
        <f t="shared" ref="L5:L57" si="6">$J5+$L4</f>
        <v>39942.300000000003</v>
      </c>
      <c r="M5" s="61">
        <f t="shared" si="3"/>
        <v>3982652.47</v>
      </c>
      <c r="O5" s="64" t="s">
        <v>295</v>
      </c>
      <c r="P5" s="65"/>
    </row>
    <row r="6" spans="1:16" x14ac:dyDescent="0.25">
      <c r="E6" s="59">
        <v>4</v>
      </c>
      <c r="F6" s="60">
        <v>42561</v>
      </c>
      <c r="G6" s="61">
        <f t="shared" si="4"/>
        <v>3982652.47</v>
      </c>
      <c r="H6" s="62">
        <f t="shared" si="0"/>
        <v>19096.61</v>
      </c>
      <c r="I6" s="62">
        <f t="shared" si="2"/>
        <v>5821.1</v>
      </c>
      <c r="J6" s="62">
        <f t="shared" si="1"/>
        <v>13275.51</v>
      </c>
      <c r="K6" s="61">
        <f t="shared" si="5"/>
        <v>23168.629999999997</v>
      </c>
      <c r="L6" s="61">
        <f t="shared" si="6"/>
        <v>53217.810000000005</v>
      </c>
      <c r="M6" s="61">
        <f t="shared" si="3"/>
        <v>3976831.37</v>
      </c>
      <c r="O6" s="66" t="s">
        <v>296</v>
      </c>
      <c r="P6" s="67">
        <v>1320</v>
      </c>
    </row>
    <row r="7" spans="1:16" x14ac:dyDescent="0.25">
      <c r="E7" s="59">
        <v>5</v>
      </c>
      <c r="F7" s="60">
        <v>42592</v>
      </c>
      <c r="G7" s="61">
        <f t="shared" si="4"/>
        <v>3976831.37</v>
      </c>
      <c r="H7" s="62">
        <f t="shared" si="0"/>
        <v>19096.61</v>
      </c>
      <c r="I7" s="62">
        <f t="shared" si="2"/>
        <v>5840.51</v>
      </c>
      <c r="J7" s="62">
        <f t="shared" si="1"/>
        <v>13256.1</v>
      </c>
      <c r="K7" s="61">
        <f t="shared" si="5"/>
        <v>29009.14</v>
      </c>
      <c r="L7" s="61">
        <f t="shared" si="6"/>
        <v>66473.91</v>
      </c>
      <c r="M7" s="61">
        <f t="shared" si="3"/>
        <v>3970990.8600000003</v>
      </c>
      <c r="O7" s="66" t="s">
        <v>297</v>
      </c>
      <c r="P7" s="68" t="s">
        <v>298</v>
      </c>
    </row>
    <row r="8" spans="1:16" x14ac:dyDescent="0.25">
      <c r="A8" s="69" t="s">
        <v>299</v>
      </c>
      <c r="B8" s="70">
        <v>4000000</v>
      </c>
      <c r="E8" s="59">
        <v>6</v>
      </c>
      <c r="F8" s="60">
        <v>42623</v>
      </c>
      <c r="G8" s="61">
        <f t="shared" si="4"/>
        <v>3970990.8600000003</v>
      </c>
      <c r="H8" s="62">
        <f t="shared" si="0"/>
        <v>19096.61</v>
      </c>
      <c r="I8" s="62">
        <f t="shared" si="2"/>
        <v>5859.9700000000012</v>
      </c>
      <c r="J8" s="62">
        <f t="shared" si="1"/>
        <v>13236.64</v>
      </c>
      <c r="K8" s="61">
        <f t="shared" si="5"/>
        <v>34869.11</v>
      </c>
      <c r="L8" s="61">
        <f t="shared" si="6"/>
        <v>79710.55</v>
      </c>
      <c r="M8" s="61">
        <f t="shared" si="3"/>
        <v>3965130.89</v>
      </c>
      <c r="O8" s="66"/>
      <c r="P8" s="68"/>
    </row>
    <row r="9" spans="1:16" x14ac:dyDescent="0.25">
      <c r="A9" s="69" t="s">
        <v>300</v>
      </c>
      <c r="B9" s="71">
        <v>0.04</v>
      </c>
      <c r="E9" s="59">
        <v>7</v>
      </c>
      <c r="F9" s="60">
        <v>42653</v>
      </c>
      <c r="G9" s="61">
        <f t="shared" si="4"/>
        <v>3965130.89</v>
      </c>
      <c r="H9" s="62">
        <f t="shared" si="0"/>
        <v>19096.61</v>
      </c>
      <c r="I9" s="62">
        <f t="shared" si="2"/>
        <v>5879.51</v>
      </c>
      <c r="J9" s="62">
        <f t="shared" si="1"/>
        <v>13217.1</v>
      </c>
      <c r="K9" s="61">
        <f t="shared" si="5"/>
        <v>40748.620000000003</v>
      </c>
      <c r="L9" s="61">
        <f t="shared" si="6"/>
        <v>92927.650000000009</v>
      </c>
      <c r="M9" s="61">
        <f t="shared" si="3"/>
        <v>3959251.3800000004</v>
      </c>
      <c r="O9" s="66" t="s">
        <v>301</v>
      </c>
      <c r="P9" s="72">
        <f>SUM(P6:P8)</f>
        <v>1320</v>
      </c>
    </row>
    <row r="10" spans="1:16" x14ac:dyDescent="0.25">
      <c r="A10" s="69" t="s">
        <v>302</v>
      </c>
      <c r="B10" s="69">
        <v>12</v>
      </c>
      <c r="E10" s="59">
        <v>8</v>
      </c>
      <c r="F10" s="60">
        <v>42684</v>
      </c>
      <c r="G10" s="61">
        <f t="shared" si="4"/>
        <v>3959251.3800000004</v>
      </c>
      <c r="H10" s="62">
        <f t="shared" si="0"/>
        <v>19096.61</v>
      </c>
      <c r="I10" s="62">
        <f t="shared" si="2"/>
        <v>5899.1100000000006</v>
      </c>
      <c r="J10" s="62">
        <f t="shared" si="1"/>
        <v>13197.5</v>
      </c>
      <c r="K10" s="61">
        <f t="shared" si="5"/>
        <v>46647.73</v>
      </c>
      <c r="L10" s="61">
        <f t="shared" si="6"/>
        <v>106125.15000000001</v>
      </c>
      <c r="M10" s="61">
        <f t="shared" si="3"/>
        <v>3953352.2700000005</v>
      </c>
      <c r="O10" s="66"/>
      <c r="P10" s="68"/>
    </row>
    <row r="11" spans="1:16" x14ac:dyDescent="0.25">
      <c r="A11" s="69" t="s">
        <v>303</v>
      </c>
      <c r="B11" s="70">
        <f>((B9/B10)*B8)</f>
        <v>13333.333333333334</v>
      </c>
      <c r="E11" s="59">
        <v>9</v>
      </c>
      <c r="F11" s="60">
        <v>42714</v>
      </c>
      <c r="G11" s="61">
        <f t="shared" si="4"/>
        <v>3953352.2700000005</v>
      </c>
      <c r="H11" s="62">
        <f t="shared" si="0"/>
        <v>19096.61</v>
      </c>
      <c r="I11" s="62">
        <f t="shared" si="2"/>
        <v>5918.77</v>
      </c>
      <c r="J11" s="62">
        <f t="shared" si="1"/>
        <v>13177.84</v>
      </c>
      <c r="K11" s="61">
        <f t="shared" si="5"/>
        <v>52566.5</v>
      </c>
      <c r="L11" s="61">
        <f t="shared" si="6"/>
        <v>119302.99</v>
      </c>
      <c r="M11" s="61">
        <f t="shared" si="3"/>
        <v>3947433.5000000005</v>
      </c>
      <c r="O11" s="66" t="s">
        <v>304</v>
      </c>
      <c r="P11" s="72">
        <v>13855</v>
      </c>
    </row>
    <row r="12" spans="1:16" x14ac:dyDescent="0.25">
      <c r="E12" s="59">
        <v>10</v>
      </c>
      <c r="F12" s="60">
        <v>42745</v>
      </c>
      <c r="G12" s="61">
        <f t="shared" si="4"/>
        <v>3947433.5000000005</v>
      </c>
      <c r="H12" s="62">
        <f t="shared" si="0"/>
        <v>19096.61</v>
      </c>
      <c r="I12" s="62">
        <f t="shared" si="2"/>
        <v>5938.5</v>
      </c>
      <c r="J12" s="62">
        <f t="shared" si="1"/>
        <v>13158.11</v>
      </c>
      <c r="K12" s="61">
        <f t="shared" si="5"/>
        <v>58505</v>
      </c>
      <c r="L12" s="61">
        <f t="shared" si="6"/>
        <v>132461.1</v>
      </c>
      <c r="M12" s="61">
        <f t="shared" si="3"/>
        <v>3941495.0000000005</v>
      </c>
      <c r="O12" s="73" t="s">
        <v>305</v>
      </c>
      <c r="P12" s="74">
        <v>13855</v>
      </c>
    </row>
    <row r="13" spans="1:16" x14ac:dyDescent="0.25">
      <c r="E13" s="59">
        <v>11</v>
      </c>
      <c r="F13" s="60">
        <v>42776</v>
      </c>
      <c r="G13" s="61">
        <f t="shared" si="4"/>
        <v>3941495.0000000005</v>
      </c>
      <c r="H13" s="62">
        <f t="shared" si="0"/>
        <v>19096.61</v>
      </c>
      <c r="I13" s="62">
        <f t="shared" si="2"/>
        <v>5958.2900000000009</v>
      </c>
      <c r="J13" s="62">
        <f t="shared" si="1"/>
        <v>13138.32</v>
      </c>
      <c r="K13" s="61">
        <f t="shared" si="5"/>
        <v>64463.29</v>
      </c>
      <c r="L13" s="61">
        <f t="shared" si="6"/>
        <v>145599.42000000001</v>
      </c>
      <c r="M13" s="61">
        <f t="shared" si="3"/>
        <v>3935536.7100000004</v>
      </c>
      <c r="P13" s="62"/>
    </row>
    <row r="14" spans="1:16" s="55" customFormat="1" x14ac:dyDescent="0.25">
      <c r="A14" s="60" t="s">
        <v>299</v>
      </c>
      <c r="B14" s="63">
        <v>4000000</v>
      </c>
      <c r="E14" s="59">
        <v>12</v>
      </c>
      <c r="F14" s="60">
        <v>42804</v>
      </c>
      <c r="G14" s="61">
        <f t="shared" si="4"/>
        <v>3935536.7100000004</v>
      </c>
      <c r="H14" s="62">
        <f t="shared" si="0"/>
        <v>19096.61</v>
      </c>
      <c r="I14" s="62">
        <f t="shared" si="2"/>
        <v>5978.1500000000015</v>
      </c>
      <c r="J14" s="62">
        <f t="shared" si="1"/>
        <v>13118.46</v>
      </c>
      <c r="K14" s="61">
        <f t="shared" si="5"/>
        <v>70441.440000000002</v>
      </c>
      <c r="L14" s="61">
        <f t="shared" si="6"/>
        <v>158717.88</v>
      </c>
      <c r="M14" s="61">
        <f t="shared" si="3"/>
        <v>3929558.5600000005</v>
      </c>
      <c r="O14" s="75" t="s">
        <v>306</v>
      </c>
      <c r="P14" s="76"/>
    </row>
    <row r="15" spans="1:16" x14ac:dyDescent="0.25">
      <c r="A15" s="60" t="s">
        <v>300</v>
      </c>
      <c r="B15" s="58">
        <v>0.04</v>
      </c>
      <c r="E15" s="59">
        <v>13</v>
      </c>
      <c r="F15" s="60">
        <v>42835</v>
      </c>
      <c r="G15" s="61">
        <f t="shared" si="4"/>
        <v>3929558.5600000005</v>
      </c>
      <c r="H15" s="62">
        <f t="shared" si="0"/>
        <v>19096.61</v>
      </c>
      <c r="I15" s="62">
        <f t="shared" si="2"/>
        <v>5998.08</v>
      </c>
      <c r="J15" s="62">
        <f t="shared" si="1"/>
        <v>13098.53</v>
      </c>
      <c r="K15" s="61">
        <f t="shared" si="5"/>
        <v>76439.520000000004</v>
      </c>
      <c r="L15" s="61">
        <f t="shared" si="6"/>
        <v>171816.41</v>
      </c>
      <c r="M15" s="61">
        <f t="shared" si="3"/>
        <v>3923560.4800000004</v>
      </c>
      <c r="O15" s="66" t="s">
        <v>296</v>
      </c>
      <c r="P15" s="77">
        <v>1215</v>
      </c>
    </row>
    <row r="16" spans="1:16" x14ac:dyDescent="0.25">
      <c r="A16" s="60" t="s">
        <v>307</v>
      </c>
      <c r="B16" s="78">
        <v>360</v>
      </c>
      <c r="E16" s="59">
        <v>14</v>
      </c>
      <c r="F16" s="60">
        <v>42865</v>
      </c>
      <c r="G16" s="61">
        <f t="shared" si="4"/>
        <v>3923560.4800000004</v>
      </c>
      <c r="H16" s="62">
        <f t="shared" si="0"/>
        <v>19096.61</v>
      </c>
      <c r="I16" s="62">
        <f t="shared" si="2"/>
        <v>6018.08</v>
      </c>
      <c r="J16" s="62">
        <f t="shared" si="1"/>
        <v>13078.53</v>
      </c>
      <c r="K16" s="61">
        <f t="shared" si="5"/>
        <v>82457.600000000006</v>
      </c>
      <c r="L16" s="61">
        <f t="shared" si="6"/>
        <v>184894.94</v>
      </c>
      <c r="M16" s="61">
        <f t="shared" si="3"/>
        <v>3917542.4000000004</v>
      </c>
      <c r="O16" s="66" t="s">
        <v>297</v>
      </c>
      <c r="P16" s="72">
        <v>28986</v>
      </c>
    </row>
    <row r="17" spans="1:16" x14ac:dyDescent="0.25">
      <c r="A17" s="60" t="s">
        <v>303</v>
      </c>
      <c r="B17" s="79">
        <f>ROUND(PMT($B$15/12,$B$16,-$B$14,0), 2)</f>
        <v>19096.61</v>
      </c>
      <c r="E17" s="80">
        <v>15</v>
      </c>
      <c r="F17" s="60">
        <v>42896</v>
      </c>
      <c r="G17" s="81">
        <f t="shared" si="4"/>
        <v>3917542.4000000004</v>
      </c>
      <c r="H17" s="82">
        <f t="shared" si="0"/>
        <v>19096.61</v>
      </c>
      <c r="I17" s="82">
        <f t="shared" si="2"/>
        <v>6038.1400000000012</v>
      </c>
      <c r="J17" s="82">
        <f t="shared" si="1"/>
        <v>13058.47</v>
      </c>
      <c r="K17" s="81">
        <f t="shared" si="5"/>
        <v>88495.74</v>
      </c>
      <c r="L17" s="81">
        <f t="shared" si="6"/>
        <v>197953.41</v>
      </c>
      <c r="M17" s="81">
        <f t="shared" si="3"/>
        <v>3911504.2600000002</v>
      </c>
      <c r="O17" s="66"/>
      <c r="P17" s="68"/>
    </row>
    <row r="18" spans="1:16" x14ac:dyDescent="0.25">
      <c r="E18" s="59">
        <v>16</v>
      </c>
      <c r="F18" s="60">
        <v>42926</v>
      </c>
      <c r="G18" s="61">
        <f t="shared" si="4"/>
        <v>3911504.2600000002</v>
      </c>
      <c r="H18" s="62">
        <f t="shared" si="0"/>
        <v>19096.61</v>
      </c>
      <c r="I18" s="62">
        <f t="shared" si="2"/>
        <v>6058.26</v>
      </c>
      <c r="J18" s="62">
        <f t="shared" si="1"/>
        <v>13038.35</v>
      </c>
      <c r="K18" s="61">
        <f t="shared" si="5"/>
        <v>94554</v>
      </c>
      <c r="L18" s="61">
        <f t="shared" si="6"/>
        <v>210991.76</v>
      </c>
      <c r="M18" s="61">
        <f t="shared" si="3"/>
        <v>3905446.0000000005</v>
      </c>
      <c r="O18" s="66" t="s">
        <v>301</v>
      </c>
      <c r="P18" s="68"/>
    </row>
    <row r="19" spans="1:16" x14ac:dyDescent="0.25">
      <c r="A19" s="55"/>
      <c r="B19" s="55"/>
      <c r="E19" s="59">
        <v>17</v>
      </c>
      <c r="F19" s="60">
        <v>42957</v>
      </c>
      <c r="G19" s="61">
        <f t="shared" si="4"/>
        <v>3905446.0000000005</v>
      </c>
      <c r="H19" s="62">
        <f t="shared" si="0"/>
        <v>19096.61</v>
      </c>
      <c r="I19" s="62">
        <f t="shared" si="2"/>
        <v>6078.4600000000009</v>
      </c>
      <c r="J19" s="62">
        <f t="shared" si="1"/>
        <v>13018.15</v>
      </c>
      <c r="K19" s="61">
        <f t="shared" si="5"/>
        <v>100632.46</v>
      </c>
      <c r="L19" s="61">
        <f t="shared" si="6"/>
        <v>224009.91</v>
      </c>
      <c r="M19" s="61">
        <f t="shared" si="3"/>
        <v>3899367.5400000005</v>
      </c>
      <c r="O19" s="66"/>
      <c r="P19" s="68"/>
    </row>
    <row r="20" spans="1:16" x14ac:dyDescent="0.25">
      <c r="E20" s="59">
        <v>18</v>
      </c>
      <c r="F20" s="60">
        <v>42988</v>
      </c>
      <c r="G20" s="61">
        <f t="shared" si="4"/>
        <v>3899367.5400000005</v>
      </c>
      <c r="H20" s="62">
        <f t="shared" si="0"/>
        <v>19096.61</v>
      </c>
      <c r="I20" s="62">
        <f t="shared" si="2"/>
        <v>6098.7200000000012</v>
      </c>
      <c r="J20" s="62">
        <f t="shared" si="1"/>
        <v>12997.89</v>
      </c>
      <c r="K20" s="61">
        <f t="shared" si="5"/>
        <v>106731.18000000001</v>
      </c>
      <c r="L20" s="61">
        <f t="shared" si="6"/>
        <v>237007.8</v>
      </c>
      <c r="M20" s="61">
        <f t="shared" si="3"/>
        <v>3893268.8200000003</v>
      </c>
      <c r="O20" s="66" t="s">
        <v>304</v>
      </c>
      <c r="P20" s="83">
        <f>P$16/2</f>
        <v>14493</v>
      </c>
    </row>
    <row r="21" spans="1:16" x14ac:dyDescent="0.25">
      <c r="E21" s="59">
        <v>19</v>
      </c>
      <c r="F21" s="60">
        <v>43018</v>
      </c>
      <c r="G21" s="61">
        <f t="shared" si="4"/>
        <v>3893268.8200000003</v>
      </c>
      <c r="H21" s="62">
        <f t="shared" si="0"/>
        <v>19096.61</v>
      </c>
      <c r="I21" s="62">
        <f t="shared" si="2"/>
        <v>6119.0500000000011</v>
      </c>
      <c r="J21" s="62">
        <f t="shared" si="1"/>
        <v>12977.56</v>
      </c>
      <c r="K21" s="61">
        <f t="shared" si="5"/>
        <v>112850.23000000001</v>
      </c>
      <c r="L21" s="61">
        <f t="shared" si="6"/>
        <v>249985.36</v>
      </c>
      <c r="M21" s="61">
        <f t="shared" si="3"/>
        <v>3887149.7700000005</v>
      </c>
      <c r="O21" s="73" t="s">
        <v>308</v>
      </c>
      <c r="P21" s="84">
        <f>P$16/2</f>
        <v>14493</v>
      </c>
    </row>
    <row r="22" spans="1:16" x14ac:dyDescent="0.25">
      <c r="E22" s="59">
        <v>20</v>
      </c>
      <c r="F22" s="60">
        <v>43049</v>
      </c>
      <c r="G22" s="61">
        <f t="shared" si="4"/>
        <v>3887149.7700000005</v>
      </c>
      <c r="H22" s="62">
        <f t="shared" si="0"/>
        <v>19096.61</v>
      </c>
      <c r="I22" s="62">
        <f t="shared" si="2"/>
        <v>6139.4400000000005</v>
      </c>
      <c r="J22" s="62">
        <f t="shared" si="1"/>
        <v>12957.17</v>
      </c>
      <c r="K22" s="61">
        <f t="shared" si="5"/>
        <v>118989.67000000001</v>
      </c>
      <c r="L22" s="61">
        <f t="shared" si="6"/>
        <v>262942.52999999997</v>
      </c>
      <c r="M22" s="61">
        <f t="shared" si="3"/>
        <v>3881010.3300000005</v>
      </c>
    </row>
    <row r="23" spans="1:16" x14ac:dyDescent="0.25">
      <c r="E23" s="59">
        <v>21</v>
      </c>
      <c r="F23" s="60">
        <v>43079</v>
      </c>
      <c r="G23" s="61">
        <f t="shared" si="4"/>
        <v>3881010.3300000005</v>
      </c>
      <c r="H23" s="62">
        <f t="shared" si="0"/>
        <v>19096.61</v>
      </c>
      <c r="I23" s="62">
        <f t="shared" si="2"/>
        <v>6159.91</v>
      </c>
      <c r="J23" s="62">
        <f t="shared" si="1"/>
        <v>12936.7</v>
      </c>
      <c r="K23" s="61">
        <f t="shared" si="5"/>
        <v>125149.58000000002</v>
      </c>
      <c r="L23" s="61">
        <f t="shared" si="6"/>
        <v>275879.23</v>
      </c>
      <c r="M23" s="61">
        <f t="shared" si="3"/>
        <v>3874850.4200000004</v>
      </c>
      <c r="O23" s="64" t="s">
        <v>309</v>
      </c>
      <c r="P23" s="65"/>
    </row>
    <row r="24" spans="1:16" x14ac:dyDescent="0.25">
      <c r="E24" s="59">
        <v>22</v>
      </c>
      <c r="F24" s="60">
        <v>43110</v>
      </c>
      <c r="G24" s="61">
        <f t="shared" si="4"/>
        <v>3874850.4200000004</v>
      </c>
      <c r="H24" s="62">
        <f t="shared" si="0"/>
        <v>19096.61</v>
      </c>
      <c r="I24" s="62">
        <f t="shared" si="2"/>
        <v>6180.4400000000005</v>
      </c>
      <c r="J24" s="62">
        <f t="shared" si="1"/>
        <v>12916.17</v>
      </c>
      <c r="K24" s="61">
        <f t="shared" si="5"/>
        <v>131330.02000000002</v>
      </c>
      <c r="L24" s="61">
        <f t="shared" si="6"/>
        <v>288795.39999999997</v>
      </c>
      <c r="M24" s="61">
        <f t="shared" si="3"/>
        <v>3868669.9800000004</v>
      </c>
      <c r="O24" s="66" t="s">
        <v>296</v>
      </c>
      <c r="P24" s="67">
        <v>1215</v>
      </c>
    </row>
    <row r="25" spans="1:16" x14ac:dyDescent="0.25">
      <c r="E25" s="59">
        <v>23</v>
      </c>
      <c r="F25" s="60">
        <v>43141</v>
      </c>
      <c r="G25" s="61">
        <f t="shared" si="4"/>
        <v>3868669.9800000004</v>
      </c>
      <c r="H25" s="62">
        <f t="shared" si="0"/>
        <v>19096.61</v>
      </c>
      <c r="I25" s="62">
        <f t="shared" si="2"/>
        <v>6201.0400000000009</v>
      </c>
      <c r="J25" s="62">
        <f t="shared" si="1"/>
        <v>12895.57</v>
      </c>
      <c r="K25" s="61">
        <f t="shared" si="5"/>
        <v>137531.06000000003</v>
      </c>
      <c r="L25" s="61">
        <f t="shared" si="6"/>
        <v>301690.96999999997</v>
      </c>
      <c r="M25" s="61">
        <f t="shared" si="3"/>
        <v>3862468.9400000004</v>
      </c>
      <c r="O25" s="66" t="s">
        <v>297</v>
      </c>
      <c r="P25" s="72">
        <v>32043</v>
      </c>
    </row>
    <row r="26" spans="1:16" x14ac:dyDescent="0.25">
      <c r="E26" s="59">
        <v>24</v>
      </c>
      <c r="F26" s="60">
        <v>43169</v>
      </c>
      <c r="G26" s="61">
        <f t="shared" si="4"/>
        <v>3862468.9400000004</v>
      </c>
      <c r="H26" s="62">
        <f t="shared" si="0"/>
        <v>19096.61</v>
      </c>
      <c r="I26" s="62">
        <f t="shared" si="2"/>
        <v>6221.7100000000009</v>
      </c>
      <c r="J26" s="62">
        <f t="shared" si="1"/>
        <v>12874.9</v>
      </c>
      <c r="K26" s="61">
        <f t="shared" si="5"/>
        <v>143752.77000000002</v>
      </c>
      <c r="L26" s="61">
        <f t="shared" si="6"/>
        <v>314565.87</v>
      </c>
      <c r="M26" s="61">
        <f t="shared" si="3"/>
        <v>3856247.2300000004</v>
      </c>
      <c r="O26" s="66"/>
      <c r="P26" s="68"/>
    </row>
    <row r="27" spans="1:16" x14ac:dyDescent="0.25">
      <c r="E27" s="59">
        <v>25</v>
      </c>
      <c r="F27" s="60">
        <v>43200</v>
      </c>
      <c r="G27" s="61">
        <f t="shared" si="4"/>
        <v>3856247.2300000004</v>
      </c>
      <c r="H27" s="62">
        <f t="shared" si="0"/>
        <v>19096.61</v>
      </c>
      <c r="I27" s="62">
        <f t="shared" si="2"/>
        <v>6242.4500000000007</v>
      </c>
      <c r="J27" s="62">
        <f t="shared" si="1"/>
        <v>12854.16</v>
      </c>
      <c r="K27" s="61">
        <f t="shared" si="5"/>
        <v>149995.22000000003</v>
      </c>
      <c r="L27" s="61">
        <f t="shared" si="6"/>
        <v>327420.02999999997</v>
      </c>
      <c r="M27" s="61">
        <f t="shared" si="3"/>
        <v>3850004.7800000003</v>
      </c>
      <c r="O27" s="66" t="s">
        <v>301</v>
      </c>
      <c r="P27" s="68"/>
    </row>
    <row r="28" spans="1:16" x14ac:dyDescent="0.25">
      <c r="E28" s="59">
        <v>26</v>
      </c>
      <c r="F28" s="60">
        <v>43230</v>
      </c>
      <c r="G28" s="61">
        <f t="shared" si="4"/>
        <v>3850004.7800000003</v>
      </c>
      <c r="H28" s="62">
        <f t="shared" si="0"/>
        <v>19096.61</v>
      </c>
      <c r="I28" s="62">
        <f t="shared" si="2"/>
        <v>6263.26</v>
      </c>
      <c r="J28" s="62">
        <f t="shared" si="1"/>
        <v>12833.35</v>
      </c>
      <c r="K28" s="61">
        <f t="shared" si="5"/>
        <v>156258.48000000004</v>
      </c>
      <c r="L28" s="61">
        <f t="shared" si="6"/>
        <v>340253.37999999995</v>
      </c>
      <c r="M28" s="61">
        <f t="shared" si="3"/>
        <v>3843741.5200000005</v>
      </c>
      <c r="O28" s="66"/>
      <c r="P28" s="68"/>
    </row>
    <row r="29" spans="1:16" x14ac:dyDescent="0.25">
      <c r="E29" s="59">
        <v>27</v>
      </c>
      <c r="F29" s="60">
        <v>43261</v>
      </c>
      <c r="G29" s="61">
        <f t="shared" si="4"/>
        <v>3843741.5200000005</v>
      </c>
      <c r="H29" s="62">
        <f t="shared" si="0"/>
        <v>19096.61</v>
      </c>
      <c r="I29" s="62">
        <f t="shared" si="2"/>
        <v>6284.1400000000012</v>
      </c>
      <c r="J29" s="62">
        <f t="shared" si="1"/>
        <v>12812.47</v>
      </c>
      <c r="K29" s="61">
        <f t="shared" si="5"/>
        <v>162542.62000000005</v>
      </c>
      <c r="L29" s="61">
        <f t="shared" si="6"/>
        <v>353065.84999999992</v>
      </c>
      <c r="M29" s="61">
        <f t="shared" si="3"/>
        <v>3837457.3800000004</v>
      </c>
      <c r="O29" s="66" t="s">
        <v>304</v>
      </c>
      <c r="P29" s="83">
        <f>P$25/3</f>
        <v>10681</v>
      </c>
    </row>
    <row r="30" spans="1:16" x14ac:dyDescent="0.25">
      <c r="E30" s="59">
        <v>28</v>
      </c>
      <c r="F30" s="60">
        <v>43291</v>
      </c>
      <c r="G30" s="61">
        <f t="shared" si="4"/>
        <v>3837457.3800000004</v>
      </c>
      <c r="H30" s="62">
        <f t="shared" si="0"/>
        <v>19096.61</v>
      </c>
      <c r="I30" s="62">
        <f t="shared" si="2"/>
        <v>6305.09</v>
      </c>
      <c r="J30" s="62">
        <f t="shared" si="1"/>
        <v>12791.52</v>
      </c>
      <c r="K30" s="61">
        <f t="shared" si="5"/>
        <v>168847.71000000005</v>
      </c>
      <c r="L30" s="61">
        <f t="shared" si="6"/>
        <v>365857.36999999994</v>
      </c>
      <c r="M30" s="61">
        <f t="shared" si="3"/>
        <v>3831152.2900000005</v>
      </c>
      <c r="O30" s="66" t="s">
        <v>305</v>
      </c>
      <c r="P30" s="83">
        <f t="shared" ref="P30:P31" si="7">P$25/3</f>
        <v>10681</v>
      </c>
    </row>
    <row r="31" spans="1:16" x14ac:dyDescent="0.25">
      <c r="E31" s="59">
        <v>29</v>
      </c>
      <c r="F31" s="60">
        <v>43322</v>
      </c>
      <c r="G31" s="61">
        <f t="shared" si="4"/>
        <v>3831152.2900000005</v>
      </c>
      <c r="H31" s="62">
        <f t="shared" si="0"/>
        <v>19096.61</v>
      </c>
      <c r="I31" s="62">
        <f t="shared" si="2"/>
        <v>6326.1</v>
      </c>
      <c r="J31" s="62">
        <f t="shared" si="1"/>
        <v>12770.51</v>
      </c>
      <c r="K31" s="61">
        <f t="shared" si="5"/>
        <v>175173.81000000006</v>
      </c>
      <c r="L31" s="61">
        <f t="shared" si="6"/>
        <v>378627.87999999995</v>
      </c>
      <c r="M31" s="61">
        <f t="shared" si="3"/>
        <v>3824826.1900000004</v>
      </c>
      <c r="O31" s="73" t="s">
        <v>310</v>
      </c>
      <c r="P31" s="84">
        <f t="shared" si="7"/>
        <v>10681</v>
      </c>
    </row>
    <row r="32" spans="1:16" x14ac:dyDescent="0.25">
      <c r="E32" s="59">
        <v>30</v>
      </c>
      <c r="F32" s="60">
        <v>43353</v>
      </c>
      <c r="G32" s="61">
        <f t="shared" si="4"/>
        <v>3824826.1900000004</v>
      </c>
      <c r="H32" s="62">
        <f t="shared" si="0"/>
        <v>19096.61</v>
      </c>
      <c r="I32" s="62">
        <f t="shared" si="2"/>
        <v>6347.1900000000005</v>
      </c>
      <c r="J32" s="62">
        <f t="shared" si="1"/>
        <v>12749.42</v>
      </c>
      <c r="K32" s="61">
        <f t="shared" si="5"/>
        <v>181521.00000000006</v>
      </c>
      <c r="L32" s="61">
        <f t="shared" si="6"/>
        <v>391377.29999999993</v>
      </c>
      <c r="M32" s="61">
        <f t="shared" si="3"/>
        <v>3818479.0000000005</v>
      </c>
    </row>
    <row r="33" spans="5:16" x14ac:dyDescent="0.25">
      <c r="E33" s="59">
        <v>31</v>
      </c>
      <c r="F33" s="60">
        <v>43383</v>
      </c>
      <c r="G33" s="61">
        <f t="shared" si="4"/>
        <v>3818479.0000000005</v>
      </c>
      <c r="H33" s="62">
        <f t="shared" si="0"/>
        <v>19096.61</v>
      </c>
      <c r="I33" s="62">
        <f t="shared" si="2"/>
        <v>6368.35</v>
      </c>
      <c r="J33" s="62">
        <f t="shared" si="1"/>
        <v>12728.26</v>
      </c>
      <c r="K33" s="61">
        <f t="shared" si="5"/>
        <v>187889.35000000006</v>
      </c>
      <c r="L33" s="61">
        <f t="shared" si="6"/>
        <v>404105.55999999994</v>
      </c>
      <c r="M33" s="61">
        <f t="shared" si="3"/>
        <v>3812110.6500000004</v>
      </c>
      <c r="O33" s="64" t="s">
        <v>311</v>
      </c>
      <c r="P33" s="65"/>
    </row>
    <row r="34" spans="5:16" x14ac:dyDescent="0.25">
      <c r="E34" s="59">
        <v>32</v>
      </c>
      <c r="F34" s="60">
        <v>43414</v>
      </c>
      <c r="G34" s="61">
        <f t="shared" si="4"/>
        <v>3812110.6500000004</v>
      </c>
      <c r="H34" s="62">
        <f t="shared" si="0"/>
        <v>19096.61</v>
      </c>
      <c r="I34" s="62">
        <f t="shared" si="2"/>
        <v>6389.57</v>
      </c>
      <c r="J34" s="62">
        <f t="shared" si="1"/>
        <v>12707.04</v>
      </c>
      <c r="K34" s="61">
        <f t="shared" si="5"/>
        <v>194278.92000000007</v>
      </c>
      <c r="L34" s="61">
        <f t="shared" si="6"/>
        <v>416812.59999999992</v>
      </c>
      <c r="M34" s="61">
        <f t="shared" si="3"/>
        <v>3805721.0800000005</v>
      </c>
      <c r="O34" s="73" t="s">
        <v>312</v>
      </c>
      <c r="P34" s="74">
        <v>35000</v>
      </c>
    </row>
    <row r="35" spans="5:16" x14ac:dyDescent="0.25">
      <c r="E35" s="59">
        <v>33</v>
      </c>
      <c r="F35" s="60">
        <v>43444</v>
      </c>
      <c r="G35" s="61">
        <f t="shared" si="4"/>
        <v>3805721.0800000005</v>
      </c>
      <c r="H35" s="62">
        <f t="shared" si="0"/>
        <v>19096.61</v>
      </c>
      <c r="I35" s="62">
        <f t="shared" si="2"/>
        <v>6410.8700000000008</v>
      </c>
      <c r="J35" s="62">
        <f t="shared" si="1"/>
        <v>12685.74</v>
      </c>
      <c r="K35" s="61">
        <f t="shared" si="5"/>
        <v>200689.79000000007</v>
      </c>
      <c r="L35" s="61">
        <f t="shared" si="6"/>
        <v>429498.33999999991</v>
      </c>
      <c r="M35" s="61">
        <f t="shared" si="3"/>
        <v>3799310.2100000004</v>
      </c>
    </row>
    <row r="36" spans="5:16" x14ac:dyDescent="0.25">
      <c r="E36" s="59">
        <v>34</v>
      </c>
      <c r="F36" s="60">
        <v>43475</v>
      </c>
      <c r="G36" s="61">
        <f t="shared" si="4"/>
        <v>3799310.2100000004</v>
      </c>
      <c r="H36" s="62">
        <f t="shared" si="0"/>
        <v>19096.61</v>
      </c>
      <c r="I36" s="62">
        <f t="shared" si="2"/>
        <v>6432.24</v>
      </c>
      <c r="J36" s="62">
        <f t="shared" si="1"/>
        <v>12664.37</v>
      </c>
      <c r="K36" s="61">
        <f t="shared" si="5"/>
        <v>207122.03000000006</v>
      </c>
      <c r="L36" s="61">
        <f t="shared" si="6"/>
        <v>442162.7099999999</v>
      </c>
      <c r="M36" s="61">
        <f t="shared" si="3"/>
        <v>3792877.97</v>
      </c>
    </row>
    <row r="37" spans="5:16" x14ac:dyDescent="0.25">
      <c r="E37" s="59">
        <v>35</v>
      </c>
      <c r="F37" s="60">
        <v>43506</v>
      </c>
      <c r="G37" s="61">
        <f t="shared" si="4"/>
        <v>3792877.97</v>
      </c>
      <c r="H37" s="62">
        <f t="shared" si="0"/>
        <v>19096.61</v>
      </c>
      <c r="I37" s="62">
        <f t="shared" si="2"/>
        <v>6453.68</v>
      </c>
      <c r="J37" s="62">
        <f t="shared" si="1"/>
        <v>12642.93</v>
      </c>
      <c r="K37" s="61">
        <f t="shared" si="5"/>
        <v>213575.71000000005</v>
      </c>
      <c r="L37" s="61">
        <f t="shared" si="6"/>
        <v>454805.6399999999</v>
      </c>
      <c r="M37" s="61">
        <f t="shared" si="3"/>
        <v>3786424.29</v>
      </c>
      <c r="P37" s="85"/>
    </row>
    <row r="38" spans="5:16" s="85" customFormat="1" x14ac:dyDescent="0.25">
      <c r="E38" s="80">
        <v>36</v>
      </c>
      <c r="F38" s="86">
        <v>43534</v>
      </c>
      <c r="G38" s="81">
        <f t="shared" si="4"/>
        <v>3786424.29</v>
      </c>
      <c r="H38" s="82">
        <f t="shared" si="0"/>
        <v>19096.61</v>
      </c>
      <c r="I38" s="82">
        <f t="shared" si="2"/>
        <v>6475.2000000000007</v>
      </c>
      <c r="J38" s="82">
        <f t="shared" si="1"/>
        <v>12621.41</v>
      </c>
      <c r="K38" s="81">
        <f t="shared" si="5"/>
        <v>220050.91000000006</v>
      </c>
      <c r="L38" s="81">
        <f t="shared" si="6"/>
        <v>467427.04999999987</v>
      </c>
      <c r="M38" s="81">
        <f t="shared" si="3"/>
        <v>3779949.09</v>
      </c>
      <c r="O38" s="54"/>
      <c r="P38" s="54"/>
    </row>
    <row r="39" spans="5:16" x14ac:dyDescent="0.25">
      <c r="E39" s="59">
        <v>37</v>
      </c>
      <c r="F39" s="60">
        <v>43565</v>
      </c>
      <c r="G39" s="81">
        <f t="shared" si="4"/>
        <v>3779949.09</v>
      </c>
      <c r="H39" s="82">
        <f t="shared" si="0"/>
        <v>19096.61</v>
      </c>
      <c r="I39" s="82">
        <f t="shared" si="2"/>
        <v>6496.7800000000007</v>
      </c>
      <c r="J39" s="82">
        <f t="shared" si="1"/>
        <v>12599.83</v>
      </c>
      <c r="K39" s="81">
        <f t="shared" si="5"/>
        <v>226547.69000000006</v>
      </c>
      <c r="L39" s="81">
        <f t="shared" si="6"/>
        <v>480026.87999999989</v>
      </c>
      <c r="M39" s="81">
        <f t="shared" si="3"/>
        <v>3773452.31</v>
      </c>
    </row>
    <row r="40" spans="5:16" x14ac:dyDescent="0.25">
      <c r="E40" s="59">
        <v>38</v>
      </c>
      <c r="F40" s="60">
        <v>43595</v>
      </c>
      <c r="G40" s="81">
        <f t="shared" si="4"/>
        <v>3773452.31</v>
      </c>
      <c r="H40" s="82">
        <f t="shared" si="0"/>
        <v>19096.61</v>
      </c>
      <c r="I40" s="82">
        <f t="shared" si="2"/>
        <v>6518.4400000000005</v>
      </c>
      <c r="J40" s="82">
        <f t="shared" si="1"/>
        <v>12578.17</v>
      </c>
      <c r="K40" s="81">
        <f t="shared" si="5"/>
        <v>233066.13000000006</v>
      </c>
      <c r="L40" s="81">
        <f t="shared" si="6"/>
        <v>492605.04999999987</v>
      </c>
      <c r="M40" s="81">
        <f t="shared" si="3"/>
        <v>3766933.87</v>
      </c>
      <c r="O40" s="85"/>
    </row>
    <row r="41" spans="5:16" x14ac:dyDescent="0.25">
      <c r="E41" s="59">
        <v>39</v>
      </c>
      <c r="F41" s="60">
        <v>43626</v>
      </c>
      <c r="G41" s="81">
        <f t="shared" si="4"/>
        <v>3766933.87</v>
      </c>
      <c r="H41" s="82">
        <f t="shared" si="0"/>
        <v>19096.61</v>
      </c>
      <c r="I41" s="82">
        <f t="shared" si="2"/>
        <v>6540.16</v>
      </c>
      <c r="J41" s="82">
        <f t="shared" si="1"/>
        <v>12556.45</v>
      </c>
      <c r="K41" s="81">
        <f t="shared" si="5"/>
        <v>239606.29000000007</v>
      </c>
      <c r="L41" s="81">
        <f t="shared" si="6"/>
        <v>505161.49999999988</v>
      </c>
      <c r="M41" s="81">
        <f t="shared" si="3"/>
        <v>3760393.71</v>
      </c>
    </row>
    <row r="42" spans="5:16" x14ac:dyDescent="0.25">
      <c r="E42" s="59">
        <v>40</v>
      </c>
      <c r="F42" s="60">
        <v>43656</v>
      </c>
      <c r="G42" s="81">
        <f t="shared" si="4"/>
        <v>3760393.71</v>
      </c>
      <c r="H42" s="82">
        <f t="shared" si="0"/>
        <v>19096.61</v>
      </c>
      <c r="I42" s="82">
        <f t="shared" si="2"/>
        <v>6561.9600000000009</v>
      </c>
      <c r="J42" s="82">
        <f t="shared" si="1"/>
        <v>12534.65</v>
      </c>
      <c r="K42" s="81">
        <f t="shared" si="5"/>
        <v>246168.25000000006</v>
      </c>
      <c r="L42" s="81">
        <f t="shared" si="6"/>
        <v>517696.14999999991</v>
      </c>
      <c r="M42" s="81">
        <f t="shared" si="3"/>
        <v>3753831.75</v>
      </c>
    </row>
    <row r="43" spans="5:16" x14ac:dyDescent="0.25">
      <c r="E43" s="59">
        <v>41</v>
      </c>
      <c r="F43" s="60">
        <v>43687</v>
      </c>
      <c r="G43" s="81">
        <f t="shared" si="4"/>
        <v>3753831.75</v>
      </c>
      <c r="H43" s="82">
        <f t="shared" si="0"/>
        <v>19096.61</v>
      </c>
      <c r="I43" s="82">
        <f t="shared" si="2"/>
        <v>6583.84</v>
      </c>
      <c r="J43" s="82">
        <f t="shared" si="1"/>
        <v>12512.77</v>
      </c>
      <c r="K43" s="81">
        <f t="shared" si="5"/>
        <v>252752.09000000005</v>
      </c>
      <c r="L43" s="81">
        <f t="shared" si="6"/>
        <v>530208.91999999993</v>
      </c>
      <c r="M43" s="81">
        <f t="shared" si="3"/>
        <v>3747247.91</v>
      </c>
    </row>
    <row r="44" spans="5:16" x14ac:dyDescent="0.25">
      <c r="E44" s="59">
        <v>42</v>
      </c>
      <c r="F44" s="60">
        <v>43718</v>
      </c>
      <c r="G44" s="81">
        <f t="shared" si="4"/>
        <v>3747247.91</v>
      </c>
      <c r="H44" s="82">
        <f t="shared" si="0"/>
        <v>19096.61</v>
      </c>
      <c r="I44" s="82">
        <f t="shared" si="2"/>
        <v>6605.7800000000007</v>
      </c>
      <c r="J44" s="82">
        <f t="shared" si="1"/>
        <v>12490.83</v>
      </c>
      <c r="K44" s="81">
        <f t="shared" si="5"/>
        <v>259357.87000000005</v>
      </c>
      <c r="L44" s="81">
        <f t="shared" si="6"/>
        <v>542699.74999999988</v>
      </c>
      <c r="M44" s="81">
        <f t="shared" si="3"/>
        <v>3740642.1300000004</v>
      </c>
    </row>
    <row r="45" spans="5:16" x14ac:dyDescent="0.25">
      <c r="E45" s="59">
        <v>43</v>
      </c>
      <c r="F45" s="60">
        <v>43748</v>
      </c>
      <c r="G45" s="81">
        <f t="shared" si="4"/>
        <v>3740642.1300000004</v>
      </c>
      <c r="H45" s="82">
        <f t="shared" si="0"/>
        <v>19096.61</v>
      </c>
      <c r="I45" s="82">
        <f t="shared" si="2"/>
        <v>6627.8000000000011</v>
      </c>
      <c r="J45" s="82">
        <f t="shared" si="1"/>
        <v>12468.81</v>
      </c>
      <c r="K45" s="81">
        <f t="shared" si="5"/>
        <v>265985.67000000004</v>
      </c>
      <c r="L45" s="81">
        <f t="shared" si="6"/>
        <v>555168.55999999994</v>
      </c>
      <c r="M45" s="81">
        <f t="shared" si="3"/>
        <v>3734014.3300000005</v>
      </c>
    </row>
    <row r="46" spans="5:16" x14ac:dyDescent="0.25">
      <c r="E46" s="59">
        <v>44</v>
      </c>
      <c r="F46" s="60">
        <v>43779</v>
      </c>
      <c r="G46" s="81">
        <f t="shared" si="4"/>
        <v>3734014.3300000005</v>
      </c>
      <c r="H46" s="82">
        <f t="shared" si="0"/>
        <v>19096.61</v>
      </c>
      <c r="I46" s="82">
        <f t="shared" si="2"/>
        <v>6649.9000000000015</v>
      </c>
      <c r="J46" s="82">
        <f t="shared" si="1"/>
        <v>12446.71</v>
      </c>
      <c r="K46" s="81">
        <f t="shared" si="5"/>
        <v>272635.57000000007</v>
      </c>
      <c r="L46" s="81">
        <f t="shared" si="6"/>
        <v>567615.2699999999</v>
      </c>
      <c r="M46" s="81">
        <f t="shared" si="3"/>
        <v>3727364.4300000006</v>
      </c>
    </row>
    <row r="47" spans="5:16" x14ac:dyDescent="0.25">
      <c r="E47" s="59">
        <v>45</v>
      </c>
      <c r="F47" s="60">
        <v>43809</v>
      </c>
      <c r="G47" s="81">
        <f t="shared" si="4"/>
        <v>3727364.4300000006</v>
      </c>
      <c r="H47" s="82">
        <f t="shared" si="0"/>
        <v>19096.61</v>
      </c>
      <c r="I47" s="82">
        <f t="shared" si="2"/>
        <v>6672.0600000000013</v>
      </c>
      <c r="J47" s="82">
        <f t="shared" si="1"/>
        <v>12424.55</v>
      </c>
      <c r="K47" s="81">
        <f t="shared" si="5"/>
        <v>279307.63000000006</v>
      </c>
      <c r="L47" s="81">
        <f t="shared" si="6"/>
        <v>580039.81999999995</v>
      </c>
      <c r="M47" s="81">
        <f t="shared" si="3"/>
        <v>3720692.3700000006</v>
      </c>
    </row>
    <row r="48" spans="5:16" x14ac:dyDescent="0.25">
      <c r="E48" s="59">
        <v>46</v>
      </c>
      <c r="F48" s="60">
        <v>43840</v>
      </c>
      <c r="G48" s="81">
        <f t="shared" si="4"/>
        <v>3720692.3700000006</v>
      </c>
      <c r="H48" s="82">
        <f t="shared" si="0"/>
        <v>19096.61</v>
      </c>
      <c r="I48" s="82">
        <f t="shared" si="2"/>
        <v>6694.3000000000011</v>
      </c>
      <c r="J48" s="82">
        <f t="shared" si="1"/>
        <v>12402.31</v>
      </c>
      <c r="K48" s="81">
        <f t="shared" si="5"/>
        <v>286001.93000000005</v>
      </c>
      <c r="L48" s="81">
        <f t="shared" si="6"/>
        <v>592442.13</v>
      </c>
      <c r="M48" s="81">
        <f t="shared" si="3"/>
        <v>3713998.0700000008</v>
      </c>
    </row>
    <row r="49" spans="5:13" x14ac:dyDescent="0.25">
      <c r="E49" s="59">
        <v>47</v>
      </c>
      <c r="F49" s="60">
        <v>43871</v>
      </c>
      <c r="G49" s="81">
        <f t="shared" si="4"/>
        <v>3713998.0700000008</v>
      </c>
      <c r="H49" s="82">
        <f t="shared" si="0"/>
        <v>19096.61</v>
      </c>
      <c r="I49" s="82">
        <f t="shared" si="2"/>
        <v>6716.6200000000008</v>
      </c>
      <c r="J49" s="82">
        <f t="shared" si="1"/>
        <v>12379.99</v>
      </c>
      <c r="K49" s="81">
        <f t="shared" si="5"/>
        <v>292718.55000000005</v>
      </c>
      <c r="L49" s="81">
        <f t="shared" si="6"/>
        <v>604822.12</v>
      </c>
      <c r="M49" s="81">
        <f t="shared" si="3"/>
        <v>3707281.4500000007</v>
      </c>
    </row>
    <row r="50" spans="5:13" x14ac:dyDescent="0.25">
      <c r="E50" s="59">
        <v>48</v>
      </c>
      <c r="F50" s="60">
        <v>43900</v>
      </c>
      <c r="G50" s="81">
        <f t="shared" si="4"/>
        <v>3707281.4500000007</v>
      </c>
      <c r="H50" s="82">
        <f t="shared" si="0"/>
        <v>19096.61</v>
      </c>
      <c r="I50" s="82">
        <f t="shared" si="2"/>
        <v>6739.01</v>
      </c>
      <c r="J50" s="82">
        <f t="shared" si="1"/>
        <v>12357.6</v>
      </c>
      <c r="K50" s="81">
        <f t="shared" si="5"/>
        <v>299457.56000000006</v>
      </c>
      <c r="L50" s="81">
        <f t="shared" si="6"/>
        <v>617179.72</v>
      </c>
      <c r="M50" s="81">
        <f t="shared" si="3"/>
        <v>3700542.4400000009</v>
      </c>
    </row>
    <row r="51" spans="5:13" x14ac:dyDescent="0.25">
      <c r="E51" s="59">
        <v>49</v>
      </c>
      <c r="F51" s="60">
        <v>43931</v>
      </c>
      <c r="G51" s="81">
        <f t="shared" si="4"/>
        <v>3700542.4400000009</v>
      </c>
      <c r="H51" s="82">
        <f t="shared" si="0"/>
        <v>19096.61</v>
      </c>
      <c r="I51" s="82">
        <f t="shared" si="2"/>
        <v>6761.4700000000012</v>
      </c>
      <c r="J51" s="82">
        <f t="shared" si="1"/>
        <v>12335.14</v>
      </c>
      <c r="K51" s="81">
        <f t="shared" si="5"/>
        <v>306219.03000000003</v>
      </c>
      <c r="L51" s="81">
        <f t="shared" si="6"/>
        <v>629514.86</v>
      </c>
      <c r="M51" s="81">
        <f t="shared" si="3"/>
        <v>3693780.9700000007</v>
      </c>
    </row>
    <row r="52" spans="5:13" x14ac:dyDescent="0.25">
      <c r="E52" s="59">
        <v>50</v>
      </c>
      <c r="F52" s="60">
        <v>43961</v>
      </c>
      <c r="G52" s="81">
        <f t="shared" si="4"/>
        <v>3693780.9700000007</v>
      </c>
      <c r="H52" s="82">
        <f t="shared" si="0"/>
        <v>19096.61</v>
      </c>
      <c r="I52" s="82">
        <f t="shared" si="2"/>
        <v>6784.01</v>
      </c>
      <c r="J52" s="82">
        <f t="shared" si="1"/>
        <v>12312.6</v>
      </c>
      <c r="K52" s="81">
        <f t="shared" si="5"/>
        <v>313003.04000000004</v>
      </c>
      <c r="L52" s="81">
        <f t="shared" si="6"/>
        <v>641827.46</v>
      </c>
      <c r="M52" s="81">
        <f t="shared" si="3"/>
        <v>3686996.9600000009</v>
      </c>
    </row>
    <row r="53" spans="5:13" x14ac:dyDescent="0.25">
      <c r="E53" s="59">
        <v>51</v>
      </c>
      <c r="F53" s="60">
        <v>43992</v>
      </c>
      <c r="G53" s="81">
        <f t="shared" si="4"/>
        <v>3686996.9600000009</v>
      </c>
      <c r="H53" s="82">
        <f t="shared" si="0"/>
        <v>19096.61</v>
      </c>
      <c r="I53" s="82">
        <f t="shared" si="2"/>
        <v>6806.6200000000008</v>
      </c>
      <c r="J53" s="82">
        <f t="shared" si="1"/>
        <v>12289.99</v>
      </c>
      <c r="K53" s="81">
        <f t="shared" si="5"/>
        <v>319809.66000000003</v>
      </c>
      <c r="L53" s="81">
        <f t="shared" si="6"/>
        <v>654117.44999999995</v>
      </c>
      <c r="M53" s="81">
        <f t="shared" si="3"/>
        <v>3680190.3400000008</v>
      </c>
    </row>
    <row r="54" spans="5:13" x14ac:dyDescent="0.25">
      <c r="E54" s="59">
        <v>52</v>
      </c>
      <c r="F54" s="60">
        <v>44022</v>
      </c>
      <c r="G54" s="81">
        <f t="shared" si="4"/>
        <v>3680190.3400000008</v>
      </c>
      <c r="H54" s="82">
        <f t="shared" si="0"/>
        <v>19096.61</v>
      </c>
      <c r="I54" s="82">
        <f t="shared" si="2"/>
        <v>6829.3100000000013</v>
      </c>
      <c r="J54" s="82">
        <f t="shared" si="1"/>
        <v>12267.3</v>
      </c>
      <c r="K54" s="81">
        <f t="shared" si="5"/>
        <v>326638.97000000003</v>
      </c>
      <c r="L54" s="81">
        <f t="shared" si="6"/>
        <v>666384.75</v>
      </c>
      <c r="M54" s="81">
        <f t="shared" si="3"/>
        <v>3673361.0300000007</v>
      </c>
    </row>
    <row r="55" spans="5:13" x14ac:dyDescent="0.25">
      <c r="E55" s="59">
        <v>53</v>
      </c>
      <c r="F55" s="60">
        <v>44053</v>
      </c>
      <c r="G55" s="81">
        <f t="shared" si="4"/>
        <v>3673361.0300000007</v>
      </c>
      <c r="H55" s="82">
        <f t="shared" si="0"/>
        <v>19096.61</v>
      </c>
      <c r="I55" s="82">
        <f t="shared" si="2"/>
        <v>6852.07</v>
      </c>
      <c r="J55" s="82">
        <f t="shared" si="1"/>
        <v>12244.54</v>
      </c>
      <c r="K55" s="81">
        <f t="shared" si="5"/>
        <v>333491.04000000004</v>
      </c>
      <c r="L55" s="81">
        <f t="shared" si="6"/>
        <v>678629.29</v>
      </c>
      <c r="M55" s="81">
        <f t="shared" si="3"/>
        <v>3666508.9600000009</v>
      </c>
    </row>
    <row r="56" spans="5:13" x14ac:dyDescent="0.25">
      <c r="E56" s="59">
        <v>54</v>
      </c>
      <c r="F56" s="60">
        <v>44084</v>
      </c>
      <c r="G56" s="81">
        <f t="shared" si="4"/>
        <v>3666508.9600000009</v>
      </c>
      <c r="H56" s="82">
        <f t="shared" si="0"/>
        <v>19096.61</v>
      </c>
      <c r="I56" s="82">
        <f t="shared" si="2"/>
        <v>6874.91</v>
      </c>
      <c r="J56" s="82">
        <f t="shared" si="1"/>
        <v>12221.7</v>
      </c>
      <c r="K56" s="81">
        <f t="shared" si="5"/>
        <v>340365.95</v>
      </c>
      <c r="L56" s="81">
        <f t="shared" si="6"/>
        <v>690850.99</v>
      </c>
      <c r="M56" s="81">
        <f t="shared" si="3"/>
        <v>3659634.0500000007</v>
      </c>
    </row>
    <row r="57" spans="5:13" x14ac:dyDescent="0.25">
      <c r="E57" s="59">
        <v>55</v>
      </c>
      <c r="F57" s="60">
        <v>44114</v>
      </c>
      <c r="G57" s="81">
        <f t="shared" si="4"/>
        <v>3659634.0500000007</v>
      </c>
      <c r="H57" s="82">
        <f t="shared" si="0"/>
        <v>19096.61</v>
      </c>
      <c r="I57" s="82">
        <f t="shared" si="2"/>
        <v>6897.83</v>
      </c>
      <c r="J57" s="82">
        <f t="shared" si="1"/>
        <v>12198.78</v>
      </c>
      <c r="K57" s="81">
        <f t="shared" si="5"/>
        <v>347263.78</v>
      </c>
      <c r="L57" s="81">
        <f t="shared" si="6"/>
        <v>703049.77</v>
      </c>
      <c r="M57" s="81">
        <f t="shared" si="3"/>
        <v>3652736.2200000007</v>
      </c>
    </row>
  </sheetData>
  <pageMargins left="0.7" right="0.7" top="0.75" bottom="0.75" header="0.3" footer="0.3"/>
  <pageSetup paperSize="5"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92"/>
  <sheetViews>
    <sheetView zoomScale="80" zoomScaleNormal="80" workbookViewId="0">
      <selection activeCell="K87" sqref="K87:K92"/>
    </sheetView>
  </sheetViews>
  <sheetFormatPr defaultRowHeight="15" x14ac:dyDescent="0.25"/>
  <cols>
    <col min="1" max="1" width="51.140625" style="31" customWidth="1"/>
    <col min="2" max="5" width="13.85546875" style="31" customWidth="1"/>
    <col min="6" max="7" width="9.140625" style="31"/>
    <col min="8" max="8" width="4.28515625" style="31" customWidth="1"/>
    <col min="9" max="9" width="9.140625" style="31" customWidth="1"/>
    <col min="10" max="10" width="20.28515625" style="31" customWidth="1"/>
    <col min="11" max="23" width="13.85546875" style="31" customWidth="1"/>
    <col min="24" max="16384" width="9.140625" style="31"/>
  </cols>
  <sheetData>
    <row r="1" spans="1:23" x14ac:dyDescent="0.25">
      <c r="A1" s="87" t="s">
        <v>313</v>
      </c>
      <c r="B1" s="87"/>
      <c r="K1" s="12" t="s">
        <v>314</v>
      </c>
    </row>
    <row r="2" spans="1:23" x14ac:dyDescent="0.25">
      <c r="A2" s="31" t="s">
        <v>315</v>
      </c>
      <c r="B2" s="88">
        <v>5666.67</v>
      </c>
      <c r="D2" s="89">
        <f>B2*12</f>
        <v>68000.040000000008</v>
      </c>
    </row>
    <row r="3" spans="1:23" x14ac:dyDescent="0.25">
      <c r="A3" s="31" t="s">
        <v>316</v>
      </c>
      <c r="B3" s="88">
        <v>5666.67</v>
      </c>
      <c r="D3" s="89">
        <f t="shared" ref="D3:D12" si="0">B3*12</f>
        <v>68000.040000000008</v>
      </c>
    </row>
    <row r="4" spans="1:23" x14ac:dyDescent="0.25">
      <c r="A4" s="31" t="s">
        <v>317</v>
      </c>
      <c r="B4" s="88">
        <v>5666.67</v>
      </c>
      <c r="D4" s="89">
        <f t="shared" si="0"/>
        <v>68000.040000000008</v>
      </c>
      <c r="K4" s="90">
        <v>42370</v>
      </c>
      <c r="L4" s="90">
        <v>42402</v>
      </c>
      <c r="M4" s="90">
        <v>42434</v>
      </c>
      <c r="N4" s="90">
        <v>42466</v>
      </c>
      <c r="O4" s="90">
        <v>42498</v>
      </c>
      <c r="P4" s="90">
        <v>42530</v>
      </c>
      <c r="Q4" s="90">
        <v>42562</v>
      </c>
      <c r="R4" s="90">
        <v>42594</v>
      </c>
      <c r="S4" s="90">
        <v>42626</v>
      </c>
      <c r="T4" s="90">
        <v>42658</v>
      </c>
      <c r="U4" s="90">
        <v>42690</v>
      </c>
      <c r="V4" s="90">
        <v>42722</v>
      </c>
      <c r="W4" s="91" t="s">
        <v>318</v>
      </c>
    </row>
    <row r="5" spans="1:23" x14ac:dyDescent="0.25">
      <c r="A5" s="31" t="s">
        <v>319</v>
      </c>
      <c r="B5" s="88">
        <v>5666.67</v>
      </c>
      <c r="D5" s="89">
        <f t="shared" si="0"/>
        <v>68000.040000000008</v>
      </c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</row>
    <row r="6" spans="1:23" x14ac:dyDescent="0.25">
      <c r="A6" s="31" t="s">
        <v>320</v>
      </c>
      <c r="B6" s="88">
        <v>5666.67</v>
      </c>
      <c r="D6" s="89">
        <f t="shared" si="0"/>
        <v>68000.040000000008</v>
      </c>
    </row>
    <row r="7" spans="1:23" x14ac:dyDescent="0.25">
      <c r="B7" s="88"/>
      <c r="D7" s="89"/>
      <c r="J7" s="31" t="s">
        <v>321</v>
      </c>
      <c r="K7" s="92">
        <v>9137</v>
      </c>
      <c r="L7" s="92"/>
      <c r="M7" s="92"/>
      <c r="N7" s="92">
        <v>9137</v>
      </c>
      <c r="O7" s="92"/>
      <c r="P7" s="92"/>
      <c r="Q7" s="92">
        <v>9137</v>
      </c>
      <c r="R7" s="92"/>
      <c r="S7" s="92"/>
      <c r="T7" s="92"/>
      <c r="U7" s="92"/>
      <c r="V7" s="92"/>
      <c r="W7" s="92">
        <f>SUM(K7:V7)</f>
        <v>27411</v>
      </c>
    </row>
    <row r="8" spans="1:23" x14ac:dyDescent="0.25">
      <c r="A8" s="31" t="s">
        <v>322</v>
      </c>
      <c r="B8" s="88">
        <v>6516.67</v>
      </c>
      <c r="D8" s="89">
        <f t="shared" si="0"/>
        <v>78200.040000000008</v>
      </c>
      <c r="J8" s="31" t="s">
        <v>323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>
        <f t="shared" ref="W8:W12" si="1">SUM(K8:V8)</f>
        <v>0</v>
      </c>
    </row>
    <row r="9" spans="1:23" x14ac:dyDescent="0.25">
      <c r="A9" s="31" t="s">
        <v>324</v>
      </c>
      <c r="B9" s="88">
        <v>6516.67</v>
      </c>
      <c r="D9" s="89">
        <f t="shared" si="0"/>
        <v>78200.040000000008</v>
      </c>
      <c r="J9" s="31" t="s">
        <v>325</v>
      </c>
      <c r="K9" s="92">
        <v>0</v>
      </c>
      <c r="L9" s="92"/>
      <c r="M9" s="92"/>
      <c r="N9" s="92">
        <v>6282</v>
      </c>
      <c r="O9" s="92"/>
      <c r="P9" s="92"/>
      <c r="Q9" s="92">
        <v>6282</v>
      </c>
      <c r="R9" s="92"/>
      <c r="S9" s="92"/>
      <c r="T9" s="92"/>
      <c r="U9" s="92"/>
      <c r="V9" s="92"/>
      <c r="W9" s="92">
        <f t="shared" si="1"/>
        <v>12564</v>
      </c>
    </row>
    <row r="10" spans="1:23" x14ac:dyDescent="0.25">
      <c r="A10" s="31" t="s">
        <v>326</v>
      </c>
      <c r="B10" s="88">
        <v>6516.67</v>
      </c>
      <c r="D10" s="89">
        <f t="shared" si="0"/>
        <v>78200.040000000008</v>
      </c>
      <c r="J10" s="31" t="s">
        <v>327</v>
      </c>
      <c r="K10" s="92"/>
      <c r="L10" s="92"/>
      <c r="M10" s="92"/>
      <c r="N10" s="92"/>
      <c r="O10" s="92">
        <f>D53</f>
        <v>4204.8355000000001</v>
      </c>
      <c r="P10" s="92"/>
      <c r="Q10" s="92"/>
      <c r="R10" s="92"/>
      <c r="S10" s="92"/>
      <c r="T10" s="92">
        <v>0</v>
      </c>
      <c r="U10" s="92">
        <f>D54</f>
        <v>4204.8355000000001</v>
      </c>
      <c r="V10" s="92"/>
      <c r="W10" s="92">
        <f t="shared" si="1"/>
        <v>8409.6710000000003</v>
      </c>
    </row>
    <row r="11" spans="1:23" x14ac:dyDescent="0.25">
      <c r="A11" s="31" t="s">
        <v>328</v>
      </c>
      <c r="B11" s="88">
        <v>6516.67</v>
      </c>
      <c r="D11" s="89">
        <f t="shared" si="0"/>
        <v>78200.040000000008</v>
      </c>
      <c r="J11" s="31" t="s">
        <v>329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f>D70</f>
        <v>1773.9150025162505</v>
      </c>
      <c r="Q11" s="92">
        <v>0</v>
      </c>
      <c r="R11" s="92">
        <v>0</v>
      </c>
      <c r="S11" s="92"/>
      <c r="T11" s="92">
        <f>D71</f>
        <v>1773.9150025162505</v>
      </c>
      <c r="U11" s="92"/>
      <c r="V11" s="92">
        <f>D72</f>
        <v>1773.9150025162505</v>
      </c>
      <c r="W11" s="92">
        <f t="shared" si="1"/>
        <v>5321.7450075487513</v>
      </c>
    </row>
    <row r="12" spans="1:23" ht="17.25" x14ac:dyDescent="0.4">
      <c r="A12" s="31" t="s">
        <v>330</v>
      </c>
      <c r="B12" s="88">
        <v>6516.67</v>
      </c>
      <c r="D12" s="93">
        <f t="shared" si="0"/>
        <v>78200.040000000008</v>
      </c>
      <c r="J12" s="31" t="s">
        <v>331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  <c r="P12" s="92">
        <v>0</v>
      </c>
      <c r="Q12" s="92">
        <v>0</v>
      </c>
      <c r="R12" s="92">
        <v>0</v>
      </c>
      <c r="S12" s="92">
        <v>0</v>
      </c>
      <c r="T12" s="92">
        <v>0</v>
      </c>
      <c r="U12" s="92">
        <v>0</v>
      </c>
      <c r="V12" s="92">
        <f>D73</f>
        <v>1773.9150025162505</v>
      </c>
      <c r="W12" s="92">
        <f t="shared" si="1"/>
        <v>1773.9150025162505</v>
      </c>
    </row>
    <row r="13" spans="1:23" x14ac:dyDescent="0.25">
      <c r="B13" s="8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</row>
    <row r="14" spans="1:23" x14ac:dyDescent="0.25">
      <c r="A14" s="31" t="s">
        <v>332</v>
      </c>
      <c r="B14" s="88"/>
      <c r="D14" s="89">
        <f>SUM(D2:D12)</f>
        <v>731000.40000000026</v>
      </c>
      <c r="J14" s="31" t="s">
        <v>333</v>
      </c>
      <c r="K14" s="92">
        <f t="shared" ref="K14:W14" si="2">SUM(K7:K12)</f>
        <v>9137</v>
      </c>
      <c r="L14" s="92">
        <f t="shared" si="2"/>
        <v>0</v>
      </c>
      <c r="M14" s="92">
        <f t="shared" si="2"/>
        <v>0</v>
      </c>
      <c r="N14" s="92">
        <f t="shared" si="2"/>
        <v>15419</v>
      </c>
      <c r="O14" s="92">
        <f t="shared" si="2"/>
        <v>4204.8355000000001</v>
      </c>
      <c r="P14" s="92">
        <f t="shared" si="2"/>
        <v>1773.9150025162505</v>
      </c>
      <c r="Q14" s="92">
        <f t="shared" si="2"/>
        <v>15419</v>
      </c>
      <c r="R14" s="92">
        <f t="shared" si="2"/>
        <v>0</v>
      </c>
      <c r="S14" s="92">
        <f t="shared" si="2"/>
        <v>0</v>
      </c>
      <c r="T14" s="92">
        <f t="shared" si="2"/>
        <v>1773.9150025162505</v>
      </c>
      <c r="U14" s="92">
        <f t="shared" si="2"/>
        <v>4204.8355000000001</v>
      </c>
      <c r="V14" s="92">
        <f t="shared" si="2"/>
        <v>3547.830005032501</v>
      </c>
      <c r="W14" s="92">
        <f t="shared" si="2"/>
        <v>55480.331010065005</v>
      </c>
    </row>
    <row r="15" spans="1:23" x14ac:dyDescent="0.25">
      <c r="A15" s="31" t="s">
        <v>334</v>
      </c>
      <c r="B15" s="88"/>
      <c r="D15" s="89">
        <f>D14*0.05</f>
        <v>36550.020000000011</v>
      </c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</row>
    <row r="16" spans="1:23" x14ac:dyDescent="0.25">
      <c r="A16" s="31" t="s">
        <v>335</v>
      </c>
      <c r="B16" s="88"/>
      <c r="D16" s="89">
        <f>D15*0.25</f>
        <v>9137.5050000000028</v>
      </c>
      <c r="E16" s="94">
        <v>42303</v>
      </c>
    </row>
    <row r="17" spans="1:5" x14ac:dyDescent="0.25">
      <c r="A17" s="95" t="s">
        <v>336</v>
      </c>
      <c r="B17" s="88"/>
      <c r="D17" s="89">
        <f>D15*0.25</f>
        <v>9137.5050000000028</v>
      </c>
      <c r="E17" s="94">
        <v>42395</v>
      </c>
    </row>
    <row r="18" spans="1:5" x14ac:dyDescent="0.25">
      <c r="A18" s="31" t="s">
        <v>337</v>
      </c>
      <c r="B18" s="88"/>
      <c r="D18" s="89">
        <f>D15*0.25</f>
        <v>9137.5050000000028</v>
      </c>
      <c r="E18" s="94">
        <v>42486</v>
      </c>
    </row>
    <row r="19" spans="1:5" x14ac:dyDescent="0.25">
      <c r="A19" s="31" t="s">
        <v>338</v>
      </c>
      <c r="B19" s="88"/>
      <c r="D19" s="89">
        <f>D15*0.25</f>
        <v>9137.5050000000028</v>
      </c>
      <c r="E19" s="94">
        <v>42577</v>
      </c>
    </row>
    <row r="20" spans="1:5" x14ac:dyDescent="0.25">
      <c r="B20" s="88"/>
      <c r="D20" s="89"/>
    </row>
    <row r="21" spans="1:5" x14ac:dyDescent="0.25">
      <c r="B21" s="88"/>
      <c r="D21" s="89"/>
    </row>
    <row r="22" spans="1:5" x14ac:dyDescent="0.25">
      <c r="A22" s="225" t="s">
        <v>339</v>
      </c>
      <c r="B22" s="225"/>
      <c r="D22" s="89"/>
    </row>
    <row r="23" spans="1:5" x14ac:dyDescent="0.25">
      <c r="A23" s="225"/>
      <c r="B23" s="225"/>
      <c r="D23" s="89"/>
    </row>
    <row r="24" spans="1:5" x14ac:dyDescent="0.25">
      <c r="A24" s="31" t="s">
        <v>340</v>
      </c>
      <c r="B24" s="88">
        <f>47300*5</f>
        <v>236500</v>
      </c>
      <c r="D24" s="89"/>
    </row>
    <row r="25" spans="1:5" x14ac:dyDescent="0.25">
      <c r="A25" s="31" t="s">
        <v>341</v>
      </c>
      <c r="B25" s="88">
        <f>53212.5*5</f>
        <v>266062.5</v>
      </c>
      <c r="D25" s="89"/>
    </row>
    <row r="26" spans="1:5" ht="15.75" thickBot="1" x14ac:dyDescent="0.3">
      <c r="B26" s="96">
        <f>SUM(B24:B25)</f>
        <v>502562.5</v>
      </c>
      <c r="D26" s="89"/>
    </row>
    <row r="27" spans="1:5" ht="15.75" thickTop="1" x14ac:dyDescent="0.25">
      <c r="B27" s="88"/>
    </row>
    <row r="28" spans="1:5" x14ac:dyDescent="0.25">
      <c r="A28" s="31" t="s">
        <v>342</v>
      </c>
      <c r="B28" s="88">
        <f>B26*5%</f>
        <v>25128.125</v>
      </c>
    </row>
    <row r="29" spans="1:5" x14ac:dyDescent="0.25">
      <c r="B29" s="88"/>
    </row>
    <row r="30" spans="1:5" x14ac:dyDescent="0.25">
      <c r="A30" s="31" t="s">
        <v>343</v>
      </c>
      <c r="B30" s="88">
        <v>12564.06</v>
      </c>
      <c r="E30" s="94">
        <v>42280</v>
      </c>
    </row>
    <row r="31" spans="1:5" x14ac:dyDescent="0.25">
      <c r="A31" s="31" t="s">
        <v>344</v>
      </c>
      <c r="B31" s="88">
        <v>6282.03</v>
      </c>
      <c r="E31" s="94">
        <v>42463</v>
      </c>
    </row>
    <row r="32" spans="1:5" x14ac:dyDescent="0.25">
      <c r="A32" s="31" t="s">
        <v>345</v>
      </c>
      <c r="B32" s="88">
        <v>6282.03</v>
      </c>
      <c r="E32" s="94">
        <v>42554</v>
      </c>
    </row>
    <row r="33" spans="1:8" s="12" customFormat="1" ht="15.75" thickBot="1" x14ac:dyDescent="0.3">
      <c r="A33" s="31"/>
      <c r="B33" s="96">
        <f>SUM(B30:B32)</f>
        <v>25128.12</v>
      </c>
    </row>
    <row r="34" spans="1:8" ht="15.75" thickTop="1" x14ac:dyDescent="0.25"/>
    <row r="35" spans="1:8" x14ac:dyDescent="0.25">
      <c r="A35" s="12" t="s">
        <v>346</v>
      </c>
      <c r="B35" s="12"/>
      <c r="C35" s="12"/>
      <c r="D35" s="12"/>
      <c r="E35" s="12"/>
      <c r="F35" s="12"/>
      <c r="G35" s="12"/>
      <c r="H35" s="12"/>
    </row>
    <row r="36" spans="1:8" s="12" customFormat="1" x14ac:dyDescent="0.25">
      <c r="A36" s="31"/>
      <c r="B36" s="31"/>
      <c r="C36" s="31"/>
      <c r="D36" s="31"/>
      <c r="E36" s="31"/>
      <c r="F36" s="31"/>
      <c r="G36" s="31"/>
      <c r="H36" s="31"/>
    </row>
    <row r="37" spans="1:8" x14ac:dyDescent="0.25">
      <c r="A37" s="31" t="s">
        <v>347</v>
      </c>
      <c r="D37" s="89">
        <v>6282.03</v>
      </c>
      <c r="E37" s="94">
        <v>42280</v>
      </c>
    </row>
    <row r="38" spans="1:8" x14ac:dyDescent="0.25">
      <c r="A38" s="31" t="s">
        <v>348</v>
      </c>
      <c r="D38" s="89">
        <v>6282.03</v>
      </c>
      <c r="E38" s="94">
        <v>42372</v>
      </c>
    </row>
    <row r="39" spans="1:8" x14ac:dyDescent="0.25">
      <c r="A39" s="31" t="s">
        <v>349</v>
      </c>
      <c r="D39" s="89">
        <v>6282.03</v>
      </c>
      <c r="E39" s="94">
        <v>42463</v>
      </c>
    </row>
    <row r="40" spans="1:8" x14ac:dyDescent="0.25">
      <c r="A40" s="31" t="s">
        <v>350</v>
      </c>
      <c r="D40" s="89">
        <v>6282.03</v>
      </c>
      <c r="E40" s="94">
        <v>42554</v>
      </c>
    </row>
    <row r="41" spans="1:8" x14ac:dyDescent="0.25">
      <c r="D41" s="89"/>
      <c r="E41" s="97"/>
    </row>
    <row r="42" spans="1:8" x14ac:dyDescent="0.25">
      <c r="A42" s="12" t="s">
        <v>351</v>
      </c>
      <c r="B42" s="12" t="s">
        <v>352</v>
      </c>
      <c r="C42" s="12"/>
      <c r="D42" s="98"/>
      <c r="E42" s="99"/>
      <c r="F42" s="12"/>
      <c r="G42" s="12"/>
      <c r="H42" s="12"/>
    </row>
    <row r="43" spans="1:8" x14ac:dyDescent="0.25">
      <c r="D43" s="89"/>
      <c r="E43" s="97"/>
    </row>
    <row r="44" spans="1:8" x14ac:dyDescent="0.25">
      <c r="A44" s="31" t="s">
        <v>353</v>
      </c>
      <c r="B44" s="88">
        <v>31680</v>
      </c>
    </row>
    <row r="45" spans="1:8" x14ac:dyDescent="0.25">
      <c r="A45" s="31" t="s">
        <v>354</v>
      </c>
      <c r="B45" s="88">
        <v>32630.400000000001</v>
      </c>
    </row>
    <row r="46" spans="1:8" x14ac:dyDescent="0.25">
      <c r="A46" s="31" t="s">
        <v>355</v>
      </c>
      <c r="B46" s="88">
        <v>33609.31</v>
      </c>
    </row>
    <row r="47" spans="1:8" x14ac:dyDescent="0.25">
      <c r="A47" s="31" t="s">
        <v>356</v>
      </c>
      <c r="B47" s="88">
        <v>34617.589999999997</v>
      </c>
    </row>
    <row r="48" spans="1:8" ht="17.25" x14ac:dyDescent="0.4">
      <c r="A48" s="31" t="s">
        <v>357</v>
      </c>
      <c r="B48" s="100">
        <v>35656.120000000003</v>
      </c>
      <c r="D48" s="89"/>
      <c r="E48" s="94"/>
    </row>
    <row r="49" spans="1:14" x14ac:dyDescent="0.25">
      <c r="A49" s="31" t="s">
        <v>165</v>
      </c>
      <c r="B49" s="88">
        <f>SUM(B44:B48)</f>
        <v>168193.41999999998</v>
      </c>
      <c r="D49" s="89"/>
      <c r="E49" s="94"/>
    </row>
    <row r="51" spans="1:14" x14ac:dyDescent="0.25">
      <c r="A51" s="31" t="s">
        <v>358</v>
      </c>
      <c r="B51" s="89">
        <f>B49*0.05</f>
        <v>8409.6710000000003</v>
      </c>
    </row>
    <row r="53" spans="1:14" x14ac:dyDescent="0.25">
      <c r="A53" s="31" t="s">
        <v>359</v>
      </c>
      <c r="D53" s="89">
        <f>B$51/2</f>
        <v>4204.8355000000001</v>
      </c>
      <c r="E53" s="94">
        <v>42507</v>
      </c>
      <c r="F53" s="31" t="s">
        <v>360</v>
      </c>
      <c r="M53" s="97"/>
      <c r="N53" s="97"/>
    </row>
    <row r="54" spans="1:14" x14ac:dyDescent="0.25">
      <c r="A54" s="31" t="s">
        <v>361</v>
      </c>
      <c r="D54" s="89">
        <f>B$51/2</f>
        <v>4204.8355000000001</v>
      </c>
      <c r="E54" s="94">
        <v>42690</v>
      </c>
      <c r="F54" s="31" t="s">
        <v>360</v>
      </c>
      <c r="M54" s="101"/>
    </row>
    <row r="55" spans="1:14" x14ac:dyDescent="0.25">
      <c r="M55" s="101"/>
    </row>
    <row r="56" spans="1:14" x14ac:dyDescent="0.25">
      <c r="A56" s="12" t="s">
        <v>362</v>
      </c>
      <c r="M56" s="101"/>
    </row>
    <row r="57" spans="1:14" x14ac:dyDescent="0.25">
      <c r="M57" s="101"/>
    </row>
    <row r="58" spans="1:14" x14ac:dyDescent="0.25">
      <c r="A58" s="31" t="s">
        <v>363</v>
      </c>
      <c r="B58" s="31">
        <v>1215</v>
      </c>
      <c r="M58" s="101"/>
    </row>
    <row r="59" spans="1:14" x14ac:dyDescent="0.25">
      <c r="A59" s="31" t="s">
        <v>364</v>
      </c>
      <c r="B59" s="88">
        <v>22</v>
      </c>
      <c r="M59" s="101"/>
      <c r="N59" s="101"/>
    </row>
    <row r="61" spans="1:14" x14ac:dyDescent="0.25">
      <c r="A61" s="31" t="s">
        <v>353</v>
      </c>
      <c r="B61" s="88">
        <f>B58*B59</f>
        <v>26730</v>
      </c>
    </row>
    <row r="62" spans="1:14" x14ac:dyDescent="0.25">
      <c r="A62" s="31" t="s">
        <v>354</v>
      </c>
      <c r="B62" s="88">
        <f>B61*1.03</f>
        <v>27531.9</v>
      </c>
    </row>
    <row r="63" spans="1:14" x14ac:dyDescent="0.25">
      <c r="A63" s="31" t="s">
        <v>355</v>
      </c>
      <c r="B63" s="88">
        <f t="shared" ref="B63:B65" si="3">B62*1.03</f>
        <v>28357.857000000004</v>
      </c>
    </row>
    <row r="64" spans="1:14" x14ac:dyDescent="0.25">
      <c r="A64" s="31" t="s">
        <v>356</v>
      </c>
      <c r="B64" s="88">
        <f t="shared" si="3"/>
        <v>29208.592710000004</v>
      </c>
    </row>
    <row r="65" spans="1:11" ht="17.25" x14ac:dyDescent="0.4">
      <c r="A65" s="31" t="s">
        <v>357</v>
      </c>
      <c r="B65" s="100">
        <f t="shared" si="3"/>
        <v>30084.850491300007</v>
      </c>
      <c r="D65" s="89"/>
      <c r="E65" s="94"/>
    </row>
    <row r="66" spans="1:11" x14ac:dyDescent="0.25">
      <c r="A66" s="31" t="s">
        <v>165</v>
      </c>
      <c r="B66" s="88">
        <f>SUM(B61:B65)</f>
        <v>141913.20020130003</v>
      </c>
      <c r="D66" s="89"/>
      <c r="E66" s="94"/>
    </row>
    <row r="68" spans="1:11" x14ac:dyDescent="0.25">
      <c r="A68" s="31" t="s">
        <v>358</v>
      </c>
      <c r="B68" s="89">
        <f>B66*0.05</f>
        <v>7095.6600100650021</v>
      </c>
    </row>
    <row r="70" spans="1:11" x14ac:dyDescent="0.25">
      <c r="A70" s="31" t="s">
        <v>365</v>
      </c>
      <c r="D70" s="89">
        <f>B$68/4</f>
        <v>1773.9150025162505</v>
      </c>
      <c r="E70" s="94">
        <v>42673</v>
      </c>
      <c r="F70" s="31" t="s">
        <v>360</v>
      </c>
      <c r="J70" s="97"/>
      <c r="K70" s="97"/>
    </row>
    <row r="71" spans="1:11" x14ac:dyDescent="0.25">
      <c r="A71" s="31" t="s">
        <v>366</v>
      </c>
      <c r="D71" s="89">
        <f t="shared" ref="D71:D73" si="4">B$68/4</f>
        <v>1773.9150025162505</v>
      </c>
      <c r="E71" s="94">
        <f>E70+45</f>
        <v>42718</v>
      </c>
      <c r="F71" s="31" t="s">
        <v>360</v>
      </c>
      <c r="K71" s="97"/>
    </row>
    <row r="72" spans="1:11" x14ac:dyDescent="0.25">
      <c r="A72" s="31" t="s">
        <v>367</v>
      </c>
      <c r="D72" s="89">
        <f t="shared" si="4"/>
        <v>1773.9150025162505</v>
      </c>
      <c r="E72" s="94">
        <f>E71+45</f>
        <v>42763</v>
      </c>
      <c r="F72" s="31" t="s">
        <v>360</v>
      </c>
      <c r="K72" s="97"/>
    </row>
    <row r="73" spans="1:11" x14ac:dyDescent="0.25">
      <c r="A73" s="31" t="s">
        <v>368</v>
      </c>
      <c r="D73" s="89">
        <f t="shared" si="4"/>
        <v>1773.9150025162505</v>
      </c>
      <c r="E73" s="94">
        <f>E72+45</f>
        <v>42808</v>
      </c>
      <c r="F73" s="31" t="s">
        <v>360</v>
      </c>
      <c r="K73" s="97"/>
    </row>
    <row r="75" spans="1:11" x14ac:dyDescent="0.25">
      <c r="A75" s="12" t="s">
        <v>369</v>
      </c>
      <c r="B75" s="12" t="s">
        <v>370</v>
      </c>
      <c r="C75" s="12"/>
      <c r="D75" s="98"/>
      <c r="E75" s="99"/>
      <c r="F75" s="12"/>
      <c r="G75" s="12"/>
      <c r="H75" s="12"/>
    </row>
    <row r="76" spans="1:11" x14ac:dyDescent="0.25">
      <c r="D76" s="89"/>
      <c r="E76" s="97"/>
    </row>
    <row r="77" spans="1:11" x14ac:dyDescent="0.25">
      <c r="A77" s="31" t="s">
        <v>363</v>
      </c>
      <c r="B77" s="31">
        <v>1215</v>
      </c>
    </row>
    <row r="78" spans="1:11" x14ac:dyDescent="0.25">
      <c r="A78" s="31" t="s">
        <v>364</v>
      </c>
      <c r="B78" s="88">
        <v>22</v>
      </c>
    </row>
    <row r="80" spans="1:11" x14ac:dyDescent="0.25">
      <c r="A80" s="31" t="s">
        <v>353</v>
      </c>
      <c r="B80" s="88">
        <f>B77*B78</f>
        <v>26730</v>
      </c>
      <c r="C80" s="89"/>
    </row>
    <row r="81" spans="1:11" x14ac:dyDescent="0.25">
      <c r="A81" s="31" t="s">
        <v>354</v>
      </c>
      <c r="B81" s="88">
        <f>B80*1.03</f>
        <v>27531.9</v>
      </c>
    </row>
    <row r="82" spans="1:11" x14ac:dyDescent="0.25">
      <c r="A82" s="31" t="s">
        <v>355</v>
      </c>
      <c r="B82" s="88">
        <f t="shared" ref="B82:B84" si="5">B81*1.03</f>
        <v>28357.857000000004</v>
      </c>
    </row>
    <row r="83" spans="1:11" x14ac:dyDescent="0.25">
      <c r="A83" s="31" t="s">
        <v>356</v>
      </c>
      <c r="B83" s="88">
        <f t="shared" si="5"/>
        <v>29208.592710000004</v>
      </c>
    </row>
    <row r="84" spans="1:11" ht="17.25" x14ac:dyDescent="0.4">
      <c r="A84" s="31" t="s">
        <v>357</v>
      </c>
      <c r="B84" s="100">
        <f t="shared" si="5"/>
        <v>30084.850491300007</v>
      </c>
      <c r="D84" s="89"/>
      <c r="E84" s="94"/>
    </row>
    <row r="85" spans="1:11" x14ac:dyDescent="0.25">
      <c r="A85" s="31" t="s">
        <v>165</v>
      </c>
      <c r="B85" s="88">
        <f>SUM(B80:B84)</f>
        <v>141913.20020130003</v>
      </c>
      <c r="D85" s="89"/>
      <c r="E85" s="94"/>
    </row>
    <row r="87" spans="1:11" x14ac:dyDescent="0.25">
      <c r="A87" s="31" t="s">
        <v>358</v>
      </c>
      <c r="B87" s="89">
        <f>B85*0.05</f>
        <v>7095.6600100650021</v>
      </c>
    </row>
    <row r="89" spans="1:11" x14ac:dyDescent="0.25">
      <c r="A89" s="31" t="s">
        <v>365</v>
      </c>
      <c r="D89" s="89">
        <f>B$87/4</f>
        <v>1773.9150025162505</v>
      </c>
      <c r="E89" s="94">
        <v>42720</v>
      </c>
      <c r="F89" s="31" t="s">
        <v>360</v>
      </c>
      <c r="K89" s="101"/>
    </row>
    <row r="90" spans="1:11" x14ac:dyDescent="0.25">
      <c r="A90" s="31" t="s">
        <v>366</v>
      </c>
      <c r="D90" s="89">
        <f t="shared" ref="D90:D92" si="6">B$87/4</f>
        <v>1773.9150025162505</v>
      </c>
      <c r="E90" s="94">
        <f>E89+45</f>
        <v>42765</v>
      </c>
      <c r="F90" s="31" t="s">
        <v>360</v>
      </c>
      <c r="K90" s="101"/>
    </row>
    <row r="91" spans="1:11" x14ac:dyDescent="0.25">
      <c r="A91" s="31" t="s">
        <v>367</v>
      </c>
      <c r="D91" s="89">
        <f t="shared" si="6"/>
        <v>1773.9150025162505</v>
      </c>
      <c r="E91" s="94">
        <f>E90+45</f>
        <v>42810</v>
      </c>
      <c r="F91" s="31" t="s">
        <v>360</v>
      </c>
    </row>
    <row r="92" spans="1:11" x14ac:dyDescent="0.25">
      <c r="A92" s="31" t="s">
        <v>368</v>
      </c>
      <c r="D92" s="89">
        <f t="shared" si="6"/>
        <v>1773.9150025162505</v>
      </c>
      <c r="E92" s="94">
        <f>E91+45</f>
        <v>42855</v>
      </c>
      <c r="F92" s="31" t="s">
        <v>360</v>
      </c>
    </row>
  </sheetData>
  <mergeCells count="1">
    <mergeCell ref="A22:B23"/>
  </mergeCells>
  <pageMargins left="0.7" right="0.7" top="0.75" bottom="0.75" header="0.3" footer="0.3"/>
  <pageSetup scale="36" orientation="landscape" r:id="rId1"/>
  <rowBreaks count="1" manualBreakCount="1">
    <brk id="40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5"/>
  <sheetViews>
    <sheetView zoomScale="80" zoomScaleNormal="8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E48" sqref="E48:P48"/>
    </sheetView>
  </sheetViews>
  <sheetFormatPr defaultRowHeight="15" x14ac:dyDescent="0.25"/>
  <cols>
    <col min="1" max="1" width="48.85546875" style="18" customWidth="1"/>
    <col min="2" max="2" width="9.140625" style="13"/>
    <col min="3" max="3" width="13.140625" style="13" bestFit="1" customWidth="1"/>
    <col min="4" max="4" width="13.140625" style="14" customWidth="1"/>
    <col min="5" max="15" width="11.7109375" style="15" bestFit="1" customWidth="1"/>
    <col min="16" max="16" width="13.7109375" style="15" bestFit="1" customWidth="1"/>
    <col min="17" max="17" width="13.7109375" style="16" bestFit="1" customWidth="1"/>
    <col min="18" max="18" width="13.7109375" style="17" bestFit="1" customWidth="1"/>
    <col min="19" max="19" width="9.140625" style="15"/>
    <col min="20" max="20" width="65.28515625" style="18" customWidth="1"/>
    <col min="21" max="16384" width="9.140625" style="18"/>
  </cols>
  <sheetData>
    <row r="1" spans="1:20" x14ac:dyDescent="0.25">
      <c r="A1" s="12" t="s">
        <v>200</v>
      </c>
    </row>
    <row r="3" spans="1:20" s="19" customFormat="1" x14ac:dyDescent="0.25">
      <c r="D3" s="20" t="s">
        <v>201</v>
      </c>
      <c r="E3" s="21">
        <v>42370</v>
      </c>
      <c r="F3" s="21">
        <v>42401</v>
      </c>
      <c r="G3" s="21">
        <v>42430</v>
      </c>
      <c r="H3" s="21">
        <v>42461</v>
      </c>
      <c r="I3" s="21">
        <v>42491</v>
      </c>
      <c r="J3" s="21">
        <v>42522</v>
      </c>
      <c r="K3" s="21">
        <v>42552</v>
      </c>
      <c r="L3" s="21">
        <v>42583</v>
      </c>
      <c r="M3" s="21">
        <v>42614</v>
      </c>
      <c r="N3" s="21">
        <v>42644</v>
      </c>
      <c r="O3" s="21">
        <v>42675</v>
      </c>
      <c r="P3" s="21">
        <v>42705</v>
      </c>
      <c r="Q3" s="22" t="s">
        <v>202</v>
      </c>
      <c r="R3" s="23">
        <v>2015</v>
      </c>
      <c r="S3" s="21" t="s">
        <v>0</v>
      </c>
      <c r="T3" s="19" t="s">
        <v>203</v>
      </c>
    </row>
    <row r="4" spans="1:20" s="30" customFormat="1" x14ac:dyDescent="0.25">
      <c r="A4" s="24" t="s">
        <v>204</v>
      </c>
      <c r="B4" s="25" t="s">
        <v>205</v>
      </c>
      <c r="C4" s="25" t="s">
        <v>5</v>
      </c>
      <c r="D4" s="26"/>
      <c r="E4" s="27">
        <f>'[1]Min Rent 2016'!E16</f>
        <v>25525</v>
      </c>
      <c r="F4" s="27">
        <f>'[1]Min Rent 2016'!F16</f>
        <v>25525</v>
      </c>
      <c r="G4" s="27">
        <f>'[1]Min Rent 2016'!G16</f>
        <v>25525</v>
      </c>
      <c r="H4" s="27">
        <f>'[1]Min Rent 2016'!H16</f>
        <v>25525</v>
      </c>
      <c r="I4" s="27">
        <f>'[1]Min Rent 2016'!I16</f>
        <v>26717.258064516129</v>
      </c>
      <c r="J4" s="27">
        <f>'[1]Min Rent 2016'!J16</f>
        <v>28165</v>
      </c>
      <c r="K4" s="27">
        <f>'[1]Min Rent 2016'!K16</f>
        <v>29515</v>
      </c>
      <c r="L4" s="27">
        <f>'[1]Min Rent 2016'!L16</f>
        <v>29515</v>
      </c>
      <c r="M4" s="27">
        <f>'[1]Min Rent 2016'!M16</f>
        <v>30628.75</v>
      </c>
      <c r="N4" s="27">
        <f>'[1]Min Rent 2016'!N16</f>
        <v>31742.5</v>
      </c>
      <c r="O4" s="27">
        <f>'[1]Min Rent 2016'!O16</f>
        <v>33970</v>
      </c>
      <c r="P4" s="27">
        <f>'[1]Min Rent 2016'!P16</f>
        <v>33970</v>
      </c>
      <c r="Q4" s="28">
        <f>SUM(E4:P4)</f>
        <v>346323.50806451612</v>
      </c>
      <c r="R4" s="29"/>
      <c r="S4" s="27"/>
    </row>
    <row r="5" spans="1:20" x14ac:dyDescent="0.25">
      <c r="A5" s="31" t="s">
        <v>206</v>
      </c>
      <c r="B5" s="32" t="s">
        <v>205</v>
      </c>
      <c r="C5" s="32" t="s">
        <v>15</v>
      </c>
      <c r="D5" s="33"/>
      <c r="E5" s="15">
        <f>'[1]CAM 2016'!E16</f>
        <v>2145</v>
      </c>
      <c r="F5" s="15">
        <f>'[1]CAM 2016'!F16</f>
        <v>2145</v>
      </c>
      <c r="G5" s="15">
        <f>'[1]CAM 2016'!G16</f>
        <v>2145</v>
      </c>
      <c r="H5" s="15">
        <f>'[1]CAM 2016'!H16</f>
        <v>2145</v>
      </c>
      <c r="I5" s="15">
        <f>'[1]CAM 2016'!I16</f>
        <v>2300.3548387096776</v>
      </c>
      <c r="J5" s="15">
        <f>'[1]CAM 2016'!J16</f>
        <v>2489</v>
      </c>
      <c r="K5" s="15">
        <f>'[1]CAM 2016'!K16</f>
        <v>2489</v>
      </c>
      <c r="L5" s="15">
        <f>'[1]CAM 2016'!L16</f>
        <v>2489</v>
      </c>
      <c r="M5" s="15">
        <f>'[1]CAM 2016'!M16</f>
        <v>2646</v>
      </c>
      <c r="N5" s="15">
        <f>'[1]CAM 2016'!N16</f>
        <v>2803</v>
      </c>
      <c r="O5" s="15">
        <f>'[1]CAM 2016'!O16</f>
        <v>3117</v>
      </c>
      <c r="P5" s="15">
        <f>'[1]CAM 2016'!P16</f>
        <v>3117</v>
      </c>
      <c r="Q5" s="16">
        <f t="shared" ref="Q5:Q8" si="0">SUM(E5:P5)</f>
        <v>30030.354838709678</v>
      </c>
    </row>
    <row r="6" spans="1:20" s="30" customFormat="1" x14ac:dyDescent="0.25">
      <c r="A6" s="24" t="s">
        <v>207</v>
      </c>
      <c r="B6" s="25" t="s">
        <v>205</v>
      </c>
      <c r="C6" s="25" t="s">
        <v>19</v>
      </c>
      <c r="D6" s="26"/>
      <c r="E6" s="27">
        <f>'[1]RETaxes 2016'!E16</f>
        <v>6007</v>
      </c>
      <c r="F6" s="27">
        <f>'[1]RETaxes 2016'!F16</f>
        <v>6007</v>
      </c>
      <c r="G6" s="27">
        <f>'[1]RETaxes 2016'!G16</f>
        <v>6007</v>
      </c>
      <c r="H6" s="27">
        <f>'[1]RETaxes 2016'!H16</f>
        <v>6007</v>
      </c>
      <c r="I6" s="27">
        <f>'[1]RETaxes 2016'!I16</f>
        <v>6200.7419354838712</v>
      </c>
      <c r="J6" s="27">
        <f>'[1]RETaxes 2016'!J16</f>
        <v>6436</v>
      </c>
      <c r="K6" s="27">
        <f>'[1]RETaxes 2016'!K16</f>
        <v>6436</v>
      </c>
      <c r="L6" s="27">
        <f>'[1]RETaxes 2016'!L16</f>
        <v>6436</v>
      </c>
      <c r="M6" s="27">
        <f>'[1]RETaxes 2016'!M16</f>
        <v>6632</v>
      </c>
      <c r="N6" s="27">
        <f>'[1]RETaxes 2016'!N16</f>
        <v>6828</v>
      </c>
      <c r="O6" s="27">
        <f>'[1]RETaxes 2016'!O16</f>
        <v>7220</v>
      </c>
      <c r="P6" s="27">
        <f>'[1]RETaxes 2016'!P16</f>
        <v>7220</v>
      </c>
      <c r="Q6" s="28">
        <f t="shared" si="0"/>
        <v>77436.741935483878</v>
      </c>
      <c r="R6" s="29"/>
      <c r="S6" s="27"/>
    </row>
    <row r="7" spans="1:20" x14ac:dyDescent="0.25">
      <c r="A7" s="31" t="s">
        <v>208</v>
      </c>
      <c r="B7" s="32" t="s">
        <v>205</v>
      </c>
      <c r="C7" s="32" t="s">
        <v>17</v>
      </c>
      <c r="D7" s="33"/>
      <c r="E7" s="15">
        <f>'[1]Ins 2016'!D16</f>
        <v>390</v>
      </c>
      <c r="F7" s="15">
        <f>'[1]Ins 2016'!E16</f>
        <v>390</v>
      </c>
      <c r="G7" s="15">
        <f>'[1]Ins 2016'!F16</f>
        <v>390</v>
      </c>
      <c r="H7" s="15">
        <f>'[1]Ins 2016'!G16</f>
        <v>390</v>
      </c>
      <c r="I7" s="15">
        <f>'[1]Ins 2016'!H16</f>
        <v>390</v>
      </c>
      <c r="J7" s="15">
        <f>'[1]Ins 2016'!I16</f>
        <v>390</v>
      </c>
      <c r="K7" s="15">
        <f>'[1]Ins 2016'!J16</f>
        <v>390</v>
      </c>
      <c r="L7" s="15">
        <f>'[1]Ins 2016'!K16</f>
        <v>390</v>
      </c>
      <c r="M7" s="15">
        <f>'[1]Ins 2016'!L16</f>
        <v>390</v>
      </c>
      <c r="N7" s="15">
        <f>'[1]Ins 2016'!M16</f>
        <v>390</v>
      </c>
      <c r="O7" s="15">
        <f>'[1]Ins 2016'!N16</f>
        <v>390</v>
      </c>
      <c r="P7" s="15">
        <f>'[1]Ins 2016'!O16</f>
        <v>390</v>
      </c>
      <c r="Q7" s="16">
        <f t="shared" si="0"/>
        <v>4680</v>
      </c>
    </row>
    <row r="8" spans="1:20" s="30" customFormat="1" x14ac:dyDescent="0.25">
      <c r="A8" s="24" t="s">
        <v>209</v>
      </c>
      <c r="B8" s="25" t="s">
        <v>205</v>
      </c>
      <c r="C8" s="25" t="s">
        <v>210</v>
      </c>
      <c r="D8" s="26"/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8">
        <f t="shared" si="0"/>
        <v>0</v>
      </c>
      <c r="R8" s="29"/>
      <c r="S8" s="27"/>
    </row>
    <row r="10" spans="1:20" s="34" customFormat="1" x14ac:dyDescent="0.25">
      <c r="A10" s="34" t="s">
        <v>211</v>
      </c>
      <c r="B10" s="35"/>
      <c r="C10" s="35"/>
      <c r="D10" s="36"/>
      <c r="E10" s="37">
        <f>SUM(E4:E9)</f>
        <v>34067</v>
      </c>
      <c r="F10" s="37">
        <f t="shared" ref="F10:P10" si="1">SUM(F4:F9)</f>
        <v>34067</v>
      </c>
      <c r="G10" s="37">
        <f t="shared" si="1"/>
        <v>34067</v>
      </c>
      <c r="H10" s="37">
        <f t="shared" si="1"/>
        <v>34067</v>
      </c>
      <c r="I10" s="37">
        <f t="shared" si="1"/>
        <v>35608.354838709682</v>
      </c>
      <c r="J10" s="37">
        <f t="shared" si="1"/>
        <v>37480</v>
      </c>
      <c r="K10" s="37">
        <f t="shared" si="1"/>
        <v>38830</v>
      </c>
      <c r="L10" s="37">
        <f t="shared" si="1"/>
        <v>38830</v>
      </c>
      <c r="M10" s="37">
        <f t="shared" si="1"/>
        <v>40296.75</v>
      </c>
      <c r="N10" s="37">
        <f t="shared" si="1"/>
        <v>41763.5</v>
      </c>
      <c r="O10" s="37">
        <f t="shared" si="1"/>
        <v>44697</v>
      </c>
      <c r="P10" s="37">
        <f t="shared" si="1"/>
        <v>44697</v>
      </c>
      <c r="Q10" s="38">
        <f>SUM(E10:P10)</f>
        <v>458470.6048387097</v>
      </c>
      <c r="R10" s="39"/>
      <c r="S10" s="37"/>
    </row>
    <row r="12" spans="1:20" s="45" customFormat="1" x14ac:dyDescent="0.25">
      <c r="A12" s="34" t="s">
        <v>212</v>
      </c>
      <c r="B12" s="40"/>
      <c r="C12" s="40"/>
      <c r="D12" s="41"/>
      <c r="E12" s="42">
        <v>0</v>
      </c>
      <c r="F12" s="42">
        <v>0</v>
      </c>
      <c r="G12" s="42">
        <v>300000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42">
        <v>0</v>
      </c>
      <c r="P12" s="42">
        <v>0</v>
      </c>
      <c r="Q12" s="43">
        <f>SUM(E12:P12)</f>
        <v>300000</v>
      </c>
      <c r="R12" s="44"/>
      <c r="S12" s="42"/>
    </row>
    <row r="14" spans="1:20" s="30" customFormat="1" x14ac:dyDescent="0.25">
      <c r="A14" s="46" t="s">
        <v>213</v>
      </c>
      <c r="B14" s="46" t="s">
        <v>214</v>
      </c>
      <c r="C14" s="46" t="s">
        <v>215</v>
      </c>
      <c r="D14" s="4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8"/>
      <c r="R14" s="29"/>
      <c r="S14" s="27"/>
    </row>
    <row r="15" spans="1:20" x14ac:dyDescent="0.25">
      <c r="A15" s="18" t="s">
        <v>166</v>
      </c>
      <c r="B15" s="13" t="s">
        <v>205</v>
      </c>
      <c r="C15" s="13" t="s">
        <v>194</v>
      </c>
      <c r="D15" s="14">
        <v>0</v>
      </c>
      <c r="E15" s="15">
        <f>$D15</f>
        <v>0</v>
      </c>
      <c r="F15" s="15">
        <f t="shared" ref="F15:G15" si="2">$D15</f>
        <v>0</v>
      </c>
      <c r="G15" s="15">
        <f t="shared" si="2"/>
        <v>0</v>
      </c>
      <c r="H15" s="15">
        <v>597</v>
      </c>
      <c r="I15" s="15">
        <v>597</v>
      </c>
      <c r="J15" s="15">
        <v>597</v>
      </c>
      <c r="K15" s="15">
        <v>597</v>
      </c>
      <c r="L15" s="15">
        <v>597</v>
      </c>
      <c r="M15" s="15">
        <v>597</v>
      </c>
      <c r="N15" s="15">
        <v>597</v>
      </c>
      <c r="O15" s="15">
        <v>550</v>
      </c>
      <c r="P15" s="15">
        <v>550</v>
      </c>
      <c r="Q15" s="16">
        <f>SUM(E15:P15)</f>
        <v>5279</v>
      </c>
      <c r="R15" s="17">
        <f>'[1]Op Budget 2015'!Q13</f>
        <v>588.5</v>
      </c>
    </row>
    <row r="16" spans="1:20" s="30" customFormat="1" x14ac:dyDescent="0.25">
      <c r="A16" s="30" t="s">
        <v>216</v>
      </c>
      <c r="B16" s="48" t="s">
        <v>205</v>
      </c>
      <c r="C16" s="48" t="s">
        <v>45</v>
      </c>
      <c r="D16" s="49">
        <v>300</v>
      </c>
      <c r="E16" s="27">
        <f>$D16*(1+[1]Assumptions!$B$3)</f>
        <v>304.46999999999997</v>
      </c>
      <c r="F16" s="27">
        <f>$D16*(1+[1]Assumptions!$B$3)</f>
        <v>304.46999999999997</v>
      </c>
      <c r="G16" s="27">
        <f>$D16*(1+[1]Assumptions!$B$3)</f>
        <v>304.46999999999997</v>
      </c>
      <c r="H16" s="27">
        <f>$D16*(1+[1]Assumptions!$B$3)</f>
        <v>304.46999999999997</v>
      </c>
      <c r="I16" s="27">
        <f>$D16*(1+[1]Assumptions!$B$3)</f>
        <v>304.46999999999997</v>
      </c>
      <c r="J16" s="27">
        <f>$D16*(1+[1]Assumptions!$B$3)</f>
        <v>304.46999999999997</v>
      </c>
      <c r="K16" s="27">
        <f>$D16*(1+[1]Assumptions!$B$3)</f>
        <v>304.46999999999997</v>
      </c>
      <c r="L16" s="27">
        <f>$D16*(1+[1]Assumptions!$B$3)</f>
        <v>304.46999999999997</v>
      </c>
      <c r="M16" s="27">
        <f>$D16*(1+[1]Assumptions!$B$3)</f>
        <v>304.46999999999997</v>
      </c>
      <c r="N16" s="27">
        <f>$D16*(1+[1]Assumptions!$B$3)</f>
        <v>304.46999999999997</v>
      </c>
      <c r="O16" s="27">
        <f>$D16*(1+[1]Assumptions!$B$3)</f>
        <v>304.46999999999997</v>
      </c>
      <c r="P16" s="27">
        <f>$D16*(1+[1]Assumptions!$B$3)</f>
        <v>304.46999999999997</v>
      </c>
      <c r="Q16" s="28">
        <f t="shared" ref="Q16:Q54" si="3">SUM(E16:P16)</f>
        <v>3653.639999999999</v>
      </c>
      <c r="R16" s="29">
        <f>'[1]Op Budget 2015'!Q14</f>
        <v>995.1</v>
      </c>
      <c r="S16" s="27"/>
    </row>
    <row r="17" spans="1:19" x14ac:dyDescent="0.25">
      <c r="A17" s="18" t="s">
        <v>217</v>
      </c>
      <c r="B17" s="13" t="s">
        <v>205</v>
      </c>
      <c r="C17" s="13" t="s">
        <v>47</v>
      </c>
      <c r="D17" s="14">
        <v>500</v>
      </c>
      <c r="E17" s="15">
        <f>$D17</f>
        <v>500</v>
      </c>
      <c r="F17" s="15">
        <f t="shared" ref="F17:H17" si="4">$D17</f>
        <v>500</v>
      </c>
      <c r="G17" s="15">
        <f t="shared" si="4"/>
        <v>500</v>
      </c>
      <c r="H17" s="15">
        <f t="shared" si="4"/>
        <v>500</v>
      </c>
      <c r="I17" s="15">
        <v>203</v>
      </c>
      <c r="J17" s="15">
        <v>203</v>
      </c>
      <c r="K17" s="15">
        <v>203</v>
      </c>
      <c r="L17" s="15">
        <v>203</v>
      </c>
      <c r="M17" s="15">
        <v>203</v>
      </c>
      <c r="N17" s="15">
        <v>203</v>
      </c>
      <c r="O17" s="15">
        <v>203</v>
      </c>
      <c r="P17" s="15">
        <v>203</v>
      </c>
      <c r="Q17" s="16">
        <f t="shared" si="3"/>
        <v>3624</v>
      </c>
      <c r="R17" s="17">
        <f>'[1]Op Budget 2015'!Q15</f>
        <v>3610.5</v>
      </c>
    </row>
    <row r="18" spans="1:19" s="30" customFormat="1" x14ac:dyDescent="0.25">
      <c r="A18" s="30" t="s">
        <v>218</v>
      </c>
      <c r="B18" s="48" t="s">
        <v>205</v>
      </c>
      <c r="C18" s="48" t="s">
        <v>219</v>
      </c>
      <c r="D18" s="49">
        <v>0</v>
      </c>
      <c r="E18" s="27">
        <f>$D18*(1+[1]Assumptions!$B$3)</f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8">
        <f t="shared" si="3"/>
        <v>0</v>
      </c>
      <c r="R18" s="29">
        <f>'[1]Op Budget 2015'!Q16</f>
        <v>0</v>
      </c>
      <c r="S18" s="27"/>
    </row>
    <row r="19" spans="1:19" x14ac:dyDescent="0.25">
      <c r="A19" s="18" t="s">
        <v>220</v>
      </c>
      <c r="B19" s="13" t="s">
        <v>205</v>
      </c>
      <c r="C19" s="13" t="s">
        <v>221</v>
      </c>
      <c r="D19" s="14">
        <v>0</v>
      </c>
      <c r="E19" s="15">
        <f>$D19*(1+[1]Assumptions!$B$3)</f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6">
        <f t="shared" si="3"/>
        <v>0</v>
      </c>
      <c r="R19" s="17">
        <f>'[1]Op Budget 2015'!Q17</f>
        <v>0</v>
      </c>
    </row>
    <row r="20" spans="1:19" s="30" customFormat="1" x14ac:dyDescent="0.25">
      <c r="A20" s="30" t="s">
        <v>222</v>
      </c>
      <c r="B20" s="48" t="s">
        <v>205</v>
      </c>
      <c r="C20" s="48" t="s">
        <v>223</v>
      </c>
      <c r="D20" s="49">
        <v>457</v>
      </c>
      <c r="E20" s="27">
        <f>$D20*(1+[1]Assumptions!$B$3)</f>
        <v>463.80929999999995</v>
      </c>
      <c r="F20" s="27">
        <f>$D20*(1+[1]Assumptions!$B$3)</f>
        <v>463.80929999999995</v>
      </c>
      <c r="G20" s="27">
        <f>$D20*(1+[1]Assumptions!$B$3)</f>
        <v>463.80929999999995</v>
      </c>
      <c r="H20" s="27">
        <f>$D20*(1+[1]Assumptions!$B$3)</f>
        <v>463.80929999999995</v>
      </c>
      <c r="I20" s="27">
        <f>$D20*(1+[1]Assumptions!$B$3)</f>
        <v>463.80929999999995</v>
      </c>
      <c r="J20" s="27">
        <f>$D20*(1+[1]Assumptions!$B$3)</f>
        <v>463.80929999999995</v>
      </c>
      <c r="K20" s="27">
        <f>$D20*(1+[1]Assumptions!$B$3)</f>
        <v>463.80929999999995</v>
      </c>
      <c r="L20" s="27">
        <f>$D20*(1+[1]Assumptions!$B$3)</f>
        <v>463.80929999999995</v>
      </c>
      <c r="M20" s="27">
        <f>$D20*(1+[1]Assumptions!$B$3)</f>
        <v>463.80929999999995</v>
      </c>
      <c r="N20" s="27">
        <f>$D20*(1+[1]Assumptions!$B$3)</f>
        <v>463.80929999999995</v>
      </c>
      <c r="O20" s="27">
        <f>$D20*(1+[1]Assumptions!$B$3)</f>
        <v>463.80929999999995</v>
      </c>
      <c r="P20" s="27">
        <f>$D20*(1+[1]Assumptions!$B$3)</f>
        <v>463.80929999999995</v>
      </c>
      <c r="Q20" s="28">
        <f t="shared" si="3"/>
        <v>5565.7115999999996</v>
      </c>
      <c r="R20" s="29">
        <f>'[1]Op Budget 2015'!Q18</f>
        <v>0</v>
      </c>
      <c r="S20" s="27"/>
    </row>
    <row r="21" spans="1:19" x14ac:dyDescent="0.25">
      <c r="A21" s="18" t="s">
        <v>224</v>
      </c>
      <c r="B21" s="13" t="s">
        <v>205</v>
      </c>
      <c r="C21" s="13" t="s">
        <v>49</v>
      </c>
      <c r="D21" s="14">
        <v>0</v>
      </c>
      <c r="E21" s="15">
        <v>1070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1000</v>
      </c>
      <c r="P21" s="15">
        <v>1000</v>
      </c>
      <c r="Q21" s="16">
        <f t="shared" si="3"/>
        <v>3070</v>
      </c>
      <c r="R21" s="17">
        <f>'[1]Op Budget 2015'!Q19</f>
        <v>6981.2</v>
      </c>
    </row>
    <row r="22" spans="1:19" s="30" customFormat="1" x14ac:dyDescent="0.25">
      <c r="A22" s="30" t="s">
        <v>225</v>
      </c>
      <c r="B22" s="48" t="s">
        <v>205</v>
      </c>
      <c r="C22" s="48" t="s">
        <v>226</v>
      </c>
      <c r="D22" s="49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8">
        <f t="shared" si="3"/>
        <v>0</v>
      </c>
      <c r="R22" s="29">
        <f>'[1]Op Budget 2015'!Q20</f>
        <v>1500</v>
      </c>
      <c r="S22" s="27"/>
    </row>
    <row r="23" spans="1:19" x14ac:dyDescent="0.25">
      <c r="A23" s="18" t="s">
        <v>227</v>
      </c>
      <c r="B23" s="13" t="s">
        <v>205</v>
      </c>
      <c r="C23" s="13" t="s">
        <v>228</v>
      </c>
      <c r="D23" s="14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6">
        <f t="shared" si="3"/>
        <v>0</v>
      </c>
      <c r="R23" s="17">
        <f>'[1]Op Budget 2015'!Q21</f>
        <v>0</v>
      </c>
    </row>
    <row r="24" spans="1:19" s="30" customFormat="1" x14ac:dyDescent="0.25">
      <c r="A24" s="30" t="s">
        <v>167</v>
      </c>
      <c r="B24" s="48" t="s">
        <v>205</v>
      </c>
      <c r="C24" s="48" t="s">
        <v>192</v>
      </c>
      <c r="D24" s="49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8">
        <f t="shared" si="3"/>
        <v>0</v>
      </c>
      <c r="R24" s="29">
        <f>'[1]Op Budget 2015'!Q22</f>
        <v>0</v>
      </c>
      <c r="S24" s="27"/>
    </row>
    <row r="25" spans="1:19" x14ac:dyDescent="0.25">
      <c r="A25" s="18" t="s">
        <v>229</v>
      </c>
      <c r="B25" s="13" t="s">
        <v>205</v>
      </c>
      <c r="C25" s="13" t="s">
        <v>51</v>
      </c>
      <c r="D25" s="14">
        <v>0</v>
      </c>
      <c r="E25" s="15">
        <v>0</v>
      </c>
      <c r="F25" s="15">
        <v>0</v>
      </c>
      <c r="G25" s="15">
        <v>0</v>
      </c>
      <c r="H25" s="15">
        <v>420</v>
      </c>
      <c r="I25" s="15">
        <v>500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6">
        <f t="shared" si="3"/>
        <v>920</v>
      </c>
      <c r="R25" s="17">
        <f>'[1]Op Budget 2015'!Q23</f>
        <v>1093.5999999999999</v>
      </c>
    </row>
    <row r="26" spans="1:19" s="30" customFormat="1" x14ac:dyDescent="0.25">
      <c r="A26" s="30" t="s">
        <v>168</v>
      </c>
      <c r="B26" s="48" t="s">
        <v>205</v>
      </c>
      <c r="C26" s="48" t="s">
        <v>53</v>
      </c>
      <c r="D26" s="49">
        <v>0</v>
      </c>
      <c r="E26" s="27">
        <v>0</v>
      </c>
      <c r="F26" s="27">
        <v>0</v>
      </c>
      <c r="G26" s="27">
        <v>0</v>
      </c>
      <c r="H26" s="27">
        <v>2600</v>
      </c>
      <c r="I26" s="27">
        <v>4200</v>
      </c>
      <c r="J26" s="27">
        <v>0</v>
      </c>
      <c r="K26" s="27">
        <v>0</v>
      </c>
      <c r="L26" s="27">
        <v>2500</v>
      </c>
      <c r="M26" s="27">
        <v>0</v>
      </c>
      <c r="N26" s="27">
        <v>0</v>
      </c>
      <c r="O26" s="27">
        <v>2500</v>
      </c>
      <c r="P26" s="27">
        <v>0</v>
      </c>
      <c r="Q26" s="28">
        <f t="shared" si="3"/>
        <v>11800</v>
      </c>
      <c r="R26" s="29">
        <f>'[1]Op Budget 2015'!Q24</f>
        <v>17403.190000000002</v>
      </c>
      <c r="S26" s="27"/>
    </row>
    <row r="27" spans="1:19" s="30" customFormat="1" x14ac:dyDescent="0.25">
      <c r="A27" s="30" t="s">
        <v>169</v>
      </c>
      <c r="B27" s="48" t="s">
        <v>205</v>
      </c>
      <c r="C27" s="48" t="s">
        <v>55</v>
      </c>
      <c r="D27" s="49">
        <v>0</v>
      </c>
      <c r="E27" s="27">
        <v>400</v>
      </c>
      <c r="F27" s="27">
        <v>400</v>
      </c>
      <c r="G27" s="27">
        <v>400</v>
      </c>
      <c r="H27" s="27">
        <v>400</v>
      </c>
      <c r="I27" s="27">
        <v>400</v>
      </c>
      <c r="J27" s="27">
        <v>400</v>
      </c>
      <c r="K27" s="27">
        <v>400</v>
      </c>
      <c r="L27" s="27">
        <v>400</v>
      </c>
      <c r="M27" s="27">
        <v>400</v>
      </c>
      <c r="N27" s="27">
        <v>400</v>
      </c>
      <c r="O27" s="27">
        <v>400</v>
      </c>
      <c r="P27" s="27">
        <v>400</v>
      </c>
      <c r="Q27" s="28">
        <f t="shared" si="3"/>
        <v>4800</v>
      </c>
      <c r="R27" s="29">
        <f>'[1]Op Budget 2015'!Q25</f>
        <v>16309.830000000002</v>
      </c>
      <c r="S27" s="27"/>
    </row>
    <row r="28" spans="1:19" s="30" customFormat="1" x14ac:dyDescent="0.25">
      <c r="A28" s="30" t="s">
        <v>170</v>
      </c>
      <c r="B28" s="48" t="s">
        <v>205</v>
      </c>
      <c r="C28" s="48" t="s">
        <v>57</v>
      </c>
      <c r="D28" s="49">
        <v>0</v>
      </c>
      <c r="E28" s="27">
        <v>0</v>
      </c>
      <c r="F28" s="27">
        <f>$D28*(1+[1]Assumptions!$B$3)</f>
        <v>0</v>
      </c>
      <c r="G28" s="27">
        <f>$D28*(1+[1]Assumptions!$B$3)</f>
        <v>0</v>
      </c>
      <c r="H28" s="27">
        <v>0</v>
      </c>
      <c r="I28" s="27">
        <f>$D28*(1+[1]Assumptions!$B$3)</f>
        <v>0</v>
      </c>
      <c r="J28" s="27">
        <f>$D28*(1+[1]Assumptions!$B$3)</f>
        <v>0</v>
      </c>
      <c r="K28" s="27">
        <v>0</v>
      </c>
      <c r="L28" s="27">
        <f>$D28*(1+[1]Assumptions!$B$3)</f>
        <v>0</v>
      </c>
      <c r="M28" s="27">
        <f>$D28*(1+[1]Assumptions!$B$3)</f>
        <v>0</v>
      </c>
      <c r="N28" s="27">
        <v>0</v>
      </c>
      <c r="O28" s="27">
        <f>$D28*(1+[1]Assumptions!$B$3)</f>
        <v>0</v>
      </c>
      <c r="P28" s="27">
        <f>$D28*(1+[1]Assumptions!$B$3)</f>
        <v>0</v>
      </c>
      <c r="Q28" s="28">
        <f t="shared" si="3"/>
        <v>0</v>
      </c>
      <c r="R28" s="29">
        <f>'[1]Op Budget 2015'!Q26</f>
        <v>3830.1099999999997</v>
      </c>
      <c r="S28" s="27"/>
    </row>
    <row r="29" spans="1:19" x14ac:dyDescent="0.25">
      <c r="A29" s="18" t="s">
        <v>230</v>
      </c>
      <c r="B29" s="13" t="s">
        <v>205</v>
      </c>
      <c r="C29" s="13" t="s">
        <v>231</v>
      </c>
      <c r="D29" s="14">
        <v>0</v>
      </c>
      <c r="E29" s="15">
        <f>E10*0.05</f>
        <v>1703.3500000000001</v>
      </c>
      <c r="F29" s="15">
        <f t="shared" ref="F29:P29" si="5">F10*0.05</f>
        <v>1703.3500000000001</v>
      </c>
      <c r="G29" s="15">
        <f t="shared" si="5"/>
        <v>1703.3500000000001</v>
      </c>
      <c r="H29" s="15">
        <f t="shared" si="5"/>
        <v>1703.3500000000001</v>
      </c>
      <c r="I29" s="15">
        <f t="shared" si="5"/>
        <v>1780.4177419354842</v>
      </c>
      <c r="J29" s="15">
        <f t="shared" si="5"/>
        <v>1874</v>
      </c>
      <c r="K29" s="15">
        <f t="shared" si="5"/>
        <v>1941.5</v>
      </c>
      <c r="L29" s="15">
        <f t="shared" si="5"/>
        <v>1941.5</v>
      </c>
      <c r="M29" s="15">
        <f t="shared" si="5"/>
        <v>2014.8375000000001</v>
      </c>
      <c r="N29" s="15">
        <f t="shared" si="5"/>
        <v>2088.1750000000002</v>
      </c>
      <c r="O29" s="15">
        <f t="shared" si="5"/>
        <v>2234.85</v>
      </c>
      <c r="P29" s="15">
        <f t="shared" si="5"/>
        <v>2234.85</v>
      </c>
      <c r="Q29" s="16">
        <f t="shared" si="3"/>
        <v>22923.530241935481</v>
      </c>
      <c r="R29" s="17">
        <f>'[1]Op Budget 2015'!Q27</f>
        <v>0</v>
      </c>
    </row>
    <row r="30" spans="1:19" s="30" customFormat="1" x14ac:dyDescent="0.25">
      <c r="A30" s="30" t="s">
        <v>232</v>
      </c>
      <c r="B30" s="48" t="s">
        <v>205</v>
      </c>
      <c r="C30" s="48" t="s">
        <v>233</v>
      </c>
      <c r="D30" s="49">
        <f>'[1]Op Budget 2015'!Q28/12</f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8">
        <f t="shared" si="3"/>
        <v>0</v>
      </c>
      <c r="R30" s="29">
        <f>'[1]Op Budget 2015'!Q28</f>
        <v>0</v>
      </c>
      <c r="S30" s="27"/>
    </row>
    <row r="31" spans="1:19" x14ac:dyDescent="0.25">
      <c r="A31" s="18" t="s">
        <v>234</v>
      </c>
      <c r="B31" s="13" t="s">
        <v>205</v>
      </c>
      <c r="C31" s="13" t="s">
        <v>63</v>
      </c>
      <c r="D31" s="14">
        <v>200</v>
      </c>
      <c r="E31" s="15">
        <f>$D31*(1+[1]Assumptions!$B$3)</f>
        <v>202.98</v>
      </c>
      <c r="F31" s="15">
        <f>$D31*(1+[1]Assumptions!$B$3)</f>
        <v>202.98</v>
      </c>
      <c r="G31" s="15">
        <f>$D31*(1+[1]Assumptions!$B$3)</f>
        <v>202.98</v>
      </c>
      <c r="H31" s="15">
        <f>$D31*(1+[1]Assumptions!$B$3)</f>
        <v>202.98</v>
      </c>
      <c r="I31" s="15">
        <f>$D31*(1+[1]Assumptions!$B$3)</f>
        <v>202.98</v>
      </c>
      <c r="J31" s="15">
        <f>$D31*(1+[1]Assumptions!$B$3)</f>
        <v>202.98</v>
      </c>
      <c r="K31" s="15">
        <f>$D31*(1+[1]Assumptions!$B$3)</f>
        <v>202.98</v>
      </c>
      <c r="L31" s="15">
        <f>$D31*(1+[1]Assumptions!$B$3)</f>
        <v>202.98</v>
      </c>
      <c r="M31" s="15">
        <f>$D31*(1+[1]Assumptions!$B$3)</f>
        <v>202.98</v>
      </c>
      <c r="N31" s="15">
        <f>$D31*(1+[1]Assumptions!$B$3)</f>
        <v>202.98</v>
      </c>
      <c r="O31" s="15">
        <f>$D31*(1+[1]Assumptions!$B$3)</f>
        <v>202.98</v>
      </c>
      <c r="P31" s="15">
        <f>$D31*(1+[1]Assumptions!$B$3)</f>
        <v>202.98</v>
      </c>
      <c r="Q31" s="16">
        <f t="shared" si="3"/>
        <v>2435.7599999999998</v>
      </c>
      <c r="R31" s="17">
        <f>'[1]Op Budget 2015'!Q29</f>
        <v>16278.9</v>
      </c>
    </row>
    <row r="32" spans="1:19" s="30" customFormat="1" x14ac:dyDescent="0.25">
      <c r="A32" s="30" t="s">
        <v>235</v>
      </c>
      <c r="B32" s="48" t="s">
        <v>205</v>
      </c>
      <c r="C32" s="48" t="s">
        <v>236</v>
      </c>
      <c r="D32" s="49">
        <f>'[1]Op Budget 2015'!Q30/12</f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8">
        <f t="shared" si="3"/>
        <v>0</v>
      </c>
      <c r="R32" s="29">
        <f>'[1]Op Budget 2015'!Q30</f>
        <v>0</v>
      </c>
      <c r="S32" s="27"/>
    </row>
    <row r="33" spans="1:19" x14ac:dyDescent="0.25">
      <c r="A33" s="18" t="s">
        <v>237</v>
      </c>
      <c r="B33" s="13" t="s">
        <v>205</v>
      </c>
      <c r="C33" s="13" t="s">
        <v>238</v>
      </c>
      <c r="D33" s="14">
        <f>'[1]Op Budget 2015'!Q31/12</f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6">
        <f t="shared" si="3"/>
        <v>0</v>
      </c>
      <c r="R33" s="17">
        <f>'[1]Op Budget 2015'!Q31</f>
        <v>0</v>
      </c>
    </row>
    <row r="34" spans="1:19" s="30" customFormat="1" x14ac:dyDescent="0.25">
      <c r="A34" s="30" t="s">
        <v>239</v>
      </c>
      <c r="B34" s="48" t="s">
        <v>205</v>
      </c>
      <c r="C34" s="48" t="s">
        <v>71</v>
      </c>
      <c r="D34" s="49">
        <v>0</v>
      </c>
      <c r="E34" s="27">
        <v>22163.75</v>
      </c>
      <c r="F34" s="27">
        <v>0</v>
      </c>
      <c r="G34" s="27">
        <v>0</v>
      </c>
      <c r="H34" s="27">
        <v>22163.75</v>
      </c>
      <c r="I34" s="27">
        <v>0</v>
      </c>
      <c r="J34" s="27">
        <v>0</v>
      </c>
      <c r="K34" s="27">
        <v>22163.75</v>
      </c>
      <c r="L34" s="27">
        <v>0</v>
      </c>
      <c r="M34" s="27">
        <v>0</v>
      </c>
      <c r="N34" s="27">
        <v>22163.75</v>
      </c>
      <c r="O34" s="27">
        <v>0</v>
      </c>
      <c r="P34" s="27">
        <v>0</v>
      </c>
      <c r="Q34" s="28">
        <f t="shared" si="3"/>
        <v>88655</v>
      </c>
      <c r="R34" s="29">
        <f>'[1]Op Budget 2015'!Q32</f>
        <v>88655</v>
      </c>
      <c r="S34" s="27"/>
    </row>
    <row r="35" spans="1:19" x14ac:dyDescent="0.25">
      <c r="A35" s="18" t="s">
        <v>240</v>
      </c>
      <c r="B35" s="13" t="s">
        <v>205</v>
      </c>
      <c r="C35" s="13" t="s">
        <v>73</v>
      </c>
      <c r="D35" s="14">
        <v>0</v>
      </c>
      <c r="E35" s="15">
        <v>0</v>
      </c>
      <c r="F35" s="15">
        <v>0</v>
      </c>
      <c r="G35" s="15">
        <v>300</v>
      </c>
      <c r="H35" s="15">
        <v>0</v>
      </c>
      <c r="I35" s="15">
        <v>0</v>
      </c>
      <c r="J35" s="15">
        <v>970</v>
      </c>
      <c r="K35" s="15">
        <v>0</v>
      </c>
      <c r="L35" s="15">
        <v>0</v>
      </c>
      <c r="M35" s="15">
        <v>970</v>
      </c>
      <c r="N35" s="15">
        <v>0</v>
      </c>
      <c r="O35" s="15">
        <v>0</v>
      </c>
      <c r="P35" s="15">
        <v>0</v>
      </c>
      <c r="Q35" s="16">
        <f t="shared" si="3"/>
        <v>2240</v>
      </c>
      <c r="R35" s="17">
        <f>'[1]Op Budget 2015'!Q33</f>
        <v>1652</v>
      </c>
    </row>
    <row r="36" spans="1:19" s="30" customFormat="1" x14ac:dyDescent="0.25">
      <c r="A36" s="30" t="s">
        <v>241</v>
      </c>
      <c r="B36" s="48" t="s">
        <v>205</v>
      </c>
      <c r="C36" s="48" t="s">
        <v>75</v>
      </c>
      <c r="D36" s="49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8">
        <f t="shared" si="3"/>
        <v>0</v>
      </c>
      <c r="R36" s="29">
        <f>'[1]Op Budget 2015'!Q34</f>
        <v>5019.4699999999993</v>
      </c>
      <c r="S36" s="27"/>
    </row>
    <row r="37" spans="1:19" x14ac:dyDescent="0.25">
      <c r="A37" s="18" t="s">
        <v>242</v>
      </c>
      <c r="B37" s="13" t="s">
        <v>205</v>
      </c>
      <c r="C37" s="13" t="s">
        <v>243</v>
      </c>
      <c r="D37" s="14">
        <f>'[1]Op Budget 2015'!Q35/12</f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6">
        <f t="shared" si="3"/>
        <v>0</v>
      </c>
      <c r="R37" s="17">
        <f>'[1]Op Budget 2015'!Q35</f>
        <v>0</v>
      </c>
    </row>
    <row r="38" spans="1:19" s="30" customFormat="1" x14ac:dyDescent="0.25">
      <c r="A38" s="30" t="s">
        <v>244</v>
      </c>
      <c r="B38" s="48" t="s">
        <v>205</v>
      </c>
      <c r="C38" s="48" t="s">
        <v>245</v>
      </c>
      <c r="D38" s="49">
        <f>'[1]Op Budget 2015'!Q36/12</f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8">
        <f t="shared" si="3"/>
        <v>0</v>
      </c>
      <c r="R38" s="29">
        <f>'[1]Op Budget 2015'!Q36</f>
        <v>0</v>
      </c>
      <c r="S38" s="27"/>
    </row>
    <row r="39" spans="1:19" x14ac:dyDescent="0.25">
      <c r="A39" s="18" t="s">
        <v>246</v>
      </c>
      <c r="B39" s="13" t="s">
        <v>205</v>
      </c>
      <c r="C39" s="13" t="s">
        <v>247</v>
      </c>
      <c r="D39" s="14">
        <f>'[1]Op Budget 2015'!Q37/12</f>
        <v>0</v>
      </c>
      <c r="E39" s="15">
        <v>0</v>
      </c>
      <c r="F39" s="15">
        <v>0</v>
      </c>
      <c r="G39" s="15">
        <v>0</v>
      </c>
      <c r="H39" s="15">
        <v>0</v>
      </c>
      <c r="I39" s="15">
        <v>0</v>
      </c>
      <c r="J39" s="15">
        <v>0</v>
      </c>
      <c r="K39" s="15">
        <v>0</v>
      </c>
      <c r="L39" s="15">
        <v>0</v>
      </c>
      <c r="M39" s="15">
        <v>0</v>
      </c>
      <c r="N39" s="15">
        <v>0</v>
      </c>
      <c r="O39" s="15">
        <v>0</v>
      </c>
      <c r="P39" s="15">
        <v>0</v>
      </c>
      <c r="Q39" s="16">
        <f t="shared" si="3"/>
        <v>0</v>
      </c>
      <c r="R39" s="17">
        <f>'[1]Op Budget 2015'!Q37</f>
        <v>0</v>
      </c>
    </row>
    <row r="40" spans="1:19" s="30" customFormat="1" x14ac:dyDescent="0.25">
      <c r="A40" s="30" t="s">
        <v>171</v>
      </c>
      <c r="B40" s="48" t="s">
        <v>205</v>
      </c>
      <c r="C40" s="48" t="s">
        <v>79</v>
      </c>
      <c r="D40" s="49">
        <v>15</v>
      </c>
      <c r="E40" s="27">
        <f>$D40*(1+[1]Assumptions!$B$3)</f>
        <v>15.223499999999998</v>
      </c>
      <c r="F40" s="27">
        <f>$D40*(1+[1]Assumptions!$B$3)</f>
        <v>15.223499999999998</v>
      </c>
      <c r="G40" s="27">
        <f>$D40*(1+[1]Assumptions!$B$3)</f>
        <v>15.223499999999998</v>
      </c>
      <c r="H40" s="27">
        <f>$D40*(1+[1]Assumptions!$B$3)</f>
        <v>15.223499999999998</v>
      </c>
      <c r="I40" s="27">
        <f>$D40*(1+[1]Assumptions!$B$3)</f>
        <v>15.223499999999998</v>
      </c>
      <c r="J40" s="27">
        <f>$D40*(1+[1]Assumptions!$B$3)</f>
        <v>15.223499999999998</v>
      </c>
      <c r="K40" s="27">
        <f>$D40*(1+[1]Assumptions!$B$3)</f>
        <v>15.223499999999998</v>
      </c>
      <c r="L40" s="27">
        <f>$D40*(1+[1]Assumptions!$B$3)</f>
        <v>15.223499999999998</v>
      </c>
      <c r="M40" s="27">
        <f>$D40*(1+[1]Assumptions!$B$3)</f>
        <v>15.223499999999998</v>
      </c>
      <c r="N40" s="27">
        <f>$D40*(1+[1]Assumptions!$B$3)</f>
        <v>15.223499999999998</v>
      </c>
      <c r="O40" s="27">
        <f>$D40*(1+[1]Assumptions!$B$3)</f>
        <v>15.223499999999998</v>
      </c>
      <c r="P40" s="27">
        <f>$D40*(1+[1]Assumptions!$B$3)</f>
        <v>15.223499999999998</v>
      </c>
      <c r="Q40" s="28">
        <f t="shared" si="3"/>
        <v>182.68199999999999</v>
      </c>
      <c r="R40" s="29">
        <f>'[1]Op Budget 2015'!Q38</f>
        <v>0</v>
      </c>
      <c r="S40" s="27"/>
    </row>
    <row r="41" spans="1:19" x14ac:dyDescent="0.25">
      <c r="A41" s="18" t="s">
        <v>248</v>
      </c>
      <c r="B41" s="13" t="s">
        <v>205</v>
      </c>
      <c r="C41" s="13" t="s">
        <v>249</v>
      </c>
      <c r="D41" s="14">
        <f>'[1]Op Budget 2015'!Q39/12</f>
        <v>0</v>
      </c>
      <c r="E41" s="15">
        <v>0</v>
      </c>
      <c r="F41" s="15">
        <v>0</v>
      </c>
      <c r="G41" s="15">
        <v>0</v>
      </c>
      <c r="H41" s="15">
        <v>0</v>
      </c>
      <c r="I41" s="15">
        <v>0</v>
      </c>
      <c r="J41" s="15">
        <v>0</v>
      </c>
      <c r="K41" s="15">
        <v>0</v>
      </c>
      <c r="L41" s="15">
        <v>0</v>
      </c>
      <c r="M41" s="15">
        <v>0</v>
      </c>
      <c r="N41" s="15">
        <v>0</v>
      </c>
      <c r="O41" s="15">
        <v>0</v>
      </c>
      <c r="P41" s="15">
        <v>0</v>
      </c>
      <c r="Q41" s="16">
        <f t="shared" si="3"/>
        <v>0</v>
      </c>
      <c r="R41" s="17">
        <f>'[1]Op Budget 2015'!Q39</f>
        <v>0</v>
      </c>
    </row>
    <row r="42" spans="1:19" s="30" customFormat="1" x14ac:dyDescent="0.25">
      <c r="A42" s="30" t="s">
        <v>172</v>
      </c>
      <c r="B42" s="48" t="s">
        <v>205</v>
      </c>
      <c r="C42" s="48" t="s">
        <v>85</v>
      </c>
      <c r="D42" s="49">
        <f>'[1]Op Budget 2015'!Q40/12</f>
        <v>913.61083333333329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8">
        <f t="shared" si="3"/>
        <v>0</v>
      </c>
      <c r="R42" s="29">
        <f>'[1]Op Budget 2015'!Q40</f>
        <v>10963.33</v>
      </c>
      <c r="S42" s="27"/>
    </row>
    <row r="43" spans="1:19" x14ac:dyDescent="0.25">
      <c r="A43" s="18" t="s">
        <v>250</v>
      </c>
      <c r="B43" s="13" t="s">
        <v>205</v>
      </c>
      <c r="C43" s="13" t="s">
        <v>87</v>
      </c>
      <c r="D43" s="14">
        <v>0</v>
      </c>
      <c r="E43" s="15">
        <v>2000</v>
      </c>
      <c r="F43" s="15">
        <v>200</v>
      </c>
      <c r="G43" s="15">
        <v>2000</v>
      </c>
      <c r="H43" s="15">
        <v>750</v>
      </c>
      <c r="I43" s="15">
        <v>750</v>
      </c>
      <c r="J43" s="15">
        <v>350</v>
      </c>
      <c r="K43" s="15">
        <v>350</v>
      </c>
      <c r="L43" s="15">
        <v>350</v>
      </c>
      <c r="M43" s="15">
        <v>350</v>
      </c>
      <c r="N43" s="15">
        <v>350</v>
      </c>
      <c r="O43" s="15">
        <v>350</v>
      </c>
      <c r="P43" s="15">
        <v>350</v>
      </c>
      <c r="Q43" s="16">
        <f t="shared" si="3"/>
        <v>8150</v>
      </c>
      <c r="R43" s="17">
        <f>'[1]Op Budget 2015'!Q41</f>
        <v>16965.75</v>
      </c>
    </row>
    <row r="44" spans="1:19" s="30" customFormat="1" x14ac:dyDescent="0.25">
      <c r="A44" s="30" t="s">
        <v>251</v>
      </c>
      <c r="B44" s="48" t="s">
        <v>205</v>
      </c>
      <c r="C44" s="48" t="s">
        <v>89</v>
      </c>
      <c r="D44" s="49">
        <v>300</v>
      </c>
      <c r="E44" s="27">
        <f>$D44</f>
        <v>300</v>
      </c>
      <c r="F44" s="27">
        <f t="shared" ref="F44:P44" si="6">$D44</f>
        <v>300</v>
      </c>
      <c r="G44" s="27">
        <f t="shared" si="6"/>
        <v>300</v>
      </c>
      <c r="H44" s="27">
        <f t="shared" si="6"/>
        <v>300</v>
      </c>
      <c r="I44" s="27">
        <f t="shared" si="6"/>
        <v>300</v>
      </c>
      <c r="J44" s="27">
        <f t="shared" si="6"/>
        <v>300</v>
      </c>
      <c r="K44" s="27">
        <f t="shared" si="6"/>
        <v>300</v>
      </c>
      <c r="L44" s="27">
        <f t="shared" si="6"/>
        <v>300</v>
      </c>
      <c r="M44" s="27">
        <f t="shared" si="6"/>
        <v>300</v>
      </c>
      <c r="N44" s="27">
        <f t="shared" si="6"/>
        <v>300</v>
      </c>
      <c r="O44" s="27">
        <f t="shared" si="6"/>
        <v>300</v>
      </c>
      <c r="P44" s="27">
        <f t="shared" si="6"/>
        <v>300</v>
      </c>
      <c r="Q44" s="28">
        <f t="shared" si="3"/>
        <v>3600</v>
      </c>
      <c r="R44" s="29">
        <f>'[1]Op Budget 2015'!Q42</f>
        <v>12170</v>
      </c>
      <c r="S44" s="27"/>
    </row>
    <row r="45" spans="1:19" x14ac:dyDescent="0.25">
      <c r="A45" s="18" t="s">
        <v>252</v>
      </c>
      <c r="B45" s="13" t="s">
        <v>205</v>
      </c>
      <c r="C45" s="13" t="s">
        <v>91</v>
      </c>
      <c r="D45" s="14">
        <f>'[1]Op Budget 2015'!Q43/12</f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6">
        <f t="shared" si="3"/>
        <v>0</v>
      </c>
      <c r="R45" s="17">
        <f>'[1]Op Budget 2015'!Q43</f>
        <v>0</v>
      </c>
    </row>
    <row r="46" spans="1:19" s="30" customFormat="1" x14ac:dyDescent="0.25">
      <c r="A46" s="30" t="s">
        <v>253</v>
      </c>
      <c r="B46" s="48" t="s">
        <v>205</v>
      </c>
      <c r="C46" s="48" t="s">
        <v>254</v>
      </c>
      <c r="D46" s="49">
        <f>'[1]Op Budget 2015'!Q44/12</f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8">
        <f t="shared" si="3"/>
        <v>0</v>
      </c>
      <c r="R46" s="29">
        <f>'[1]Op Budget 2015'!Q44</f>
        <v>0</v>
      </c>
      <c r="S46" s="27"/>
    </row>
    <row r="47" spans="1:19" x14ac:dyDescent="0.25">
      <c r="A47" s="18" t="s">
        <v>255</v>
      </c>
      <c r="B47" s="13" t="s">
        <v>205</v>
      </c>
      <c r="C47" s="13" t="s">
        <v>256</v>
      </c>
      <c r="D47" s="14">
        <v>100</v>
      </c>
      <c r="E47" s="15">
        <f>$D47*(1+[1]Assumptions!$B$3)</f>
        <v>101.49</v>
      </c>
      <c r="F47" s="15">
        <f>$D47*(1+[1]Assumptions!$B$3)</f>
        <v>101.49</v>
      </c>
      <c r="G47" s="15">
        <f>$D47*(1+[1]Assumptions!$B$3)</f>
        <v>101.49</v>
      </c>
      <c r="H47" s="15">
        <f>$D47*(1+[1]Assumptions!$B$3)</f>
        <v>101.49</v>
      </c>
      <c r="I47" s="15">
        <f>$D47*(1+[1]Assumptions!$B$3)</f>
        <v>101.49</v>
      </c>
      <c r="J47" s="15">
        <f>$D47*(1+[1]Assumptions!$B$3)</f>
        <v>101.49</v>
      </c>
      <c r="K47" s="15">
        <f>$D47*(1+[1]Assumptions!$B$3)</f>
        <v>101.49</v>
      </c>
      <c r="L47" s="15">
        <f>$D47*(1+[1]Assumptions!$B$3)</f>
        <v>101.49</v>
      </c>
      <c r="M47" s="15">
        <f>$D47*(1+[1]Assumptions!$B$3)</f>
        <v>101.49</v>
      </c>
      <c r="N47" s="15">
        <f>$D47*(1+[1]Assumptions!$B$3)</f>
        <v>101.49</v>
      </c>
      <c r="O47" s="15">
        <f>$D47*(1+[1]Assumptions!$B$3)</f>
        <v>101.49</v>
      </c>
      <c r="P47" s="15">
        <f>$D47*(1+[1]Assumptions!$B$3)</f>
        <v>101.49</v>
      </c>
      <c r="Q47" s="16">
        <f t="shared" si="3"/>
        <v>1217.8799999999999</v>
      </c>
      <c r="R47" s="17">
        <f>'[1]Op Budget 2015'!Q45</f>
        <v>1058.8900000000001</v>
      </c>
    </row>
    <row r="48" spans="1:19" s="30" customFormat="1" x14ac:dyDescent="0.25">
      <c r="A48" s="30" t="s">
        <v>257</v>
      </c>
      <c r="B48" s="48" t="s">
        <v>205</v>
      </c>
      <c r="C48" s="48" t="s">
        <v>97</v>
      </c>
      <c r="D48" s="49">
        <f>'[1]Op Budget 2015'!Q46/12</f>
        <v>16.2225</v>
      </c>
      <c r="E48" s="27">
        <v>0</v>
      </c>
      <c r="F48" s="27">
        <v>0</v>
      </c>
      <c r="G48" s="27">
        <v>103</v>
      </c>
      <c r="H48" s="27">
        <v>20</v>
      </c>
      <c r="I48" s="27">
        <v>0</v>
      </c>
      <c r="J48" s="27">
        <v>0</v>
      </c>
      <c r="K48" s="27">
        <v>117</v>
      </c>
      <c r="L48" s="27">
        <v>78</v>
      </c>
      <c r="M48" s="27">
        <v>0</v>
      </c>
      <c r="N48" s="27">
        <v>0</v>
      </c>
      <c r="O48" s="27">
        <v>0</v>
      </c>
      <c r="P48" s="27">
        <v>0</v>
      </c>
      <c r="Q48" s="28">
        <f t="shared" si="3"/>
        <v>318</v>
      </c>
      <c r="R48" s="29">
        <f>'[1]Op Budget 2015'!Q46</f>
        <v>194.67000000000002</v>
      </c>
      <c r="S48" s="27"/>
    </row>
    <row r="49" spans="1:19" x14ac:dyDescent="0.25">
      <c r="A49" s="18" t="s">
        <v>258</v>
      </c>
      <c r="B49" s="13" t="s">
        <v>205</v>
      </c>
      <c r="C49" s="13" t="s">
        <v>99</v>
      </c>
      <c r="D49" s="14">
        <v>80</v>
      </c>
      <c r="E49" s="15">
        <f>$D49*(1+[1]Assumptions!$B$3)</f>
        <v>81.191999999999993</v>
      </c>
      <c r="F49" s="15">
        <f>$D49*(1+[1]Assumptions!$B$3)</f>
        <v>81.191999999999993</v>
      </c>
      <c r="G49" s="15">
        <f>$D49*(1+[1]Assumptions!$B$3)</f>
        <v>81.191999999999993</v>
      </c>
      <c r="H49" s="15">
        <f>$D49*(1+[1]Assumptions!$B$3)</f>
        <v>81.191999999999993</v>
      </c>
      <c r="I49" s="15">
        <f>$D49*(1+[1]Assumptions!$B$3)</f>
        <v>81.191999999999993</v>
      </c>
      <c r="J49" s="15">
        <f>$D49*(1+[1]Assumptions!$B$3)</f>
        <v>81.191999999999993</v>
      </c>
      <c r="K49" s="15">
        <f>$D49*(1+[1]Assumptions!$B$3)</f>
        <v>81.191999999999993</v>
      </c>
      <c r="L49" s="15">
        <f>$D49*(1+[1]Assumptions!$B$3)</f>
        <v>81.191999999999993</v>
      </c>
      <c r="M49" s="15">
        <f>$D49*(1+[1]Assumptions!$B$3)</f>
        <v>81.191999999999993</v>
      </c>
      <c r="N49" s="15">
        <f>$D49*(1+[1]Assumptions!$B$3)</f>
        <v>81.191999999999993</v>
      </c>
      <c r="O49" s="15">
        <f>$D49*(1+[1]Assumptions!$B$3)</f>
        <v>81.191999999999993</v>
      </c>
      <c r="P49" s="15">
        <f>$D49*(1+[1]Assumptions!$B$3)</f>
        <v>81.191999999999993</v>
      </c>
      <c r="Q49" s="16">
        <f t="shared" si="3"/>
        <v>974.30399999999997</v>
      </c>
      <c r="R49" s="17">
        <f>'[1]Op Budget 2015'!Q47</f>
        <v>681.67000000000007</v>
      </c>
    </row>
    <row r="50" spans="1:19" s="30" customFormat="1" x14ac:dyDescent="0.25">
      <c r="A50" s="30" t="s">
        <v>259</v>
      </c>
      <c r="B50" s="48" t="s">
        <v>205</v>
      </c>
      <c r="C50" s="48" t="s">
        <v>260</v>
      </c>
      <c r="D50" s="49">
        <f>'[1]Op Budget 2015'!Q48/12</f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3500</v>
      </c>
      <c r="Q50" s="28">
        <f t="shared" si="3"/>
        <v>3500</v>
      </c>
      <c r="R50" s="29">
        <f>'[1]Op Budget 2015'!Q48</f>
        <v>0</v>
      </c>
      <c r="S50" s="27"/>
    </row>
    <row r="51" spans="1:19" x14ac:dyDescent="0.25">
      <c r="A51" s="18" t="s">
        <v>261</v>
      </c>
      <c r="B51" s="13" t="s">
        <v>205</v>
      </c>
      <c r="C51" s="13" t="s">
        <v>101</v>
      </c>
      <c r="D51" s="14">
        <v>50</v>
      </c>
      <c r="E51" s="15">
        <f>$D51</f>
        <v>50</v>
      </c>
      <c r="F51" s="15">
        <f t="shared" ref="F51:P51" si="7">$D51</f>
        <v>50</v>
      </c>
      <c r="G51" s="15">
        <f t="shared" si="7"/>
        <v>50</v>
      </c>
      <c r="H51" s="15">
        <f t="shared" si="7"/>
        <v>50</v>
      </c>
      <c r="I51" s="15">
        <f t="shared" si="7"/>
        <v>50</v>
      </c>
      <c r="J51" s="15">
        <f t="shared" si="7"/>
        <v>50</v>
      </c>
      <c r="K51" s="15">
        <f t="shared" si="7"/>
        <v>50</v>
      </c>
      <c r="L51" s="15">
        <f t="shared" si="7"/>
        <v>50</v>
      </c>
      <c r="M51" s="15">
        <f t="shared" si="7"/>
        <v>50</v>
      </c>
      <c r="N51" s="15">
        <f t="shared" si="7"/>
        <v>50</v>
      </c>
      <c r="O51" s="15">
        <f t="shared" si="7"/>
        <v>50</v>
      </c>
      <c r="P51" s="15">
        <f t="shared" si="7"/>
        <v>50</v>
      </c>
      <c r="Q51" s="16">
        <f t="shared" si="3"/>
        <v>600</v>
      </c>
      <c r="R51" s="17">
        <f>'[1]Op Budget 2015'!Q49</f>
        <v>251</v>
      </c>
    </row>
    <row r="52" spans="1:19" s="30" customFormat="1" x14ac:dyDescent="0.25">
      <c r="A52" s="30" t="s">
        <v>262</v>
      </c>
      <c r="B52" s="48" t="s">
        <v>205</v>
      </c>
      <c r="C52" s="48" t="s">
        <v>263</v>
      </c>
      <c r="D52" s="49">
        <f>'[1]Op Budget 2015'!Q50/12</f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7">
        <v>0</v>
      </c>
      <c r="P52" s="27">
        <v>0</v>
      </c>
      <c r="Q52" s="28">
        <f t="shared" si="3"/>
        <v>0</v>
      </c>
      <c r="R52" s="29">
        <f>'[1]Op Budget 2015'!Q50</f>
        <v>0</v>
      </c>
      <c r="S52" s="27"/>
    </row>
    <row r="53" spans="1:19" x14ac:dyDescent="0.25">
      <c r="A53" s="18" t="s">
        <v>264</v>
      </c>
      <c r="B53" s="13" t="s">
        <v>205</v>
      </c>
      <c r="C53" s="13" t="s">
        <v>103</v>
      </c>
      <c r="D53" s="14">
        <v>15</v>
      </c>
      <c r="E53" s="15">
        <f>$D53</f>
        <v>15</v>
      </c>
      <c r="F53" s="15">
        <f t="shared" ref="F53:P53" si="8">$D53</f>
        <v>15</v>
      </c>
      <c r="G53" s="15">
        <f t="shared" si="8"/>
        <v>15</v>
      </c>
      <c r="H53" s="15">
        <f t="shared" si="8"/>
        <v>15</v>
      </c>
      <c r="I53" s="15">
        <f t="shared" si="8"/>
        <v>15</v>
      </c>
      <c r="J53" s="15">
        <f t="shared" si="8"/>
        <v>15</v>
      </c>
      <c r="K53" s="15">
        <f t="shared" si="8"/>
        <v>15</v>
      </c>
      <c r="L53" s="15">
        <f t="shared" si="8"/>
        <v>15</v>
      </c>
      <c r="M53" s="15">
        <f t="shared" si="8"/>
        <v>15</v>
      </c>
      <c r="N53" s="15">
        <f t="shared" si="8"/>
        <v>15</v>
      </c>
      <c r="O53" s="15">
        <f t="shared" si="8"/>
        <v>15</v>
      </c>
      <c r="P53" s="15">
        <f t="shared" si="8"/>
        <v>15</v>
      </c>
      <c r="Q53" s="16">
        <f t="shared" si="3"/>
        <v>180</v>
      </c>
      <c r="R53" s="17">
        <f>'[1]Op Budget 2015'!Q51</f>
        <v>98.06</v>
      </c>
    </row>
    <row r="54" spans="1:19" s="30" customFormat="1" x14ac:dyDescent="0.25">
      <c r="A54" s="30" t="s">
        <v>265</v>
      </c>
      <c r="B54" s="48" t="s">
        <v>205</v>
      </c>
      <c r="C54" s="48"/>
      <c r="D54" s="49">
        <f>'[1]Op Budget 2015'!Q52/12</f>
        <v>10.145000000000001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7">
        <v>0</v>
      </c>
      <c r="P54" s="27">
        <v>0</v>
      </c>
      <c r="Q54" s="28">
        <f t="shared" si="3"/>
        <v>0</v>
      </c>
      <c r="R54" s="29">
        <f>'[1]Op Budget 2015'!Q52</f>
        <v>121.74000000000001</v>
      </c>
      <c r="S54" s="27"/>
    </row>
    <row r="56" spans="1:19" s="34" customFormat="1" x14ac:dyDescent="0.25">
      <c r="A56" s="34" t="s">
        <v>266</v>
      </c>
      <c r="B56" s="35"/>
      <c r="C56" s="35"/>
      <c r="D56" s="36"/>
      <c r="E56" s="50">
        <f t="shared" ref="E56:P56" si="9">SUM(E15:E55)</f>
        <v>29371.264800000001</v>
      </c>
      <c r="F56" s="50">
        <f t="shared" si="9"/>
        <v>4337.5147999999999</v>
      </c>
      <c r="G56" s="50">
        <f t="shared" si="9"/>
        <v>6540.5147999999999</v>
      </c>
      <c r="H56" s="50">
        <f t="shared" si="9"/>
        <v>30688.264800000001</v>
      </c>
      <c r="I56" s="50">
        <f t="shared" si="9"/>
        <v>9964.5825419354824</v>
      </c>
      <c r="J56" s="50">
        <f t="shared" si="9"/>
        <v>5928.1647999999996</v>
      </c>
      <c r="K56" s="50">
        <f t="shared" si="9"/>
        <v>27306.414799999999</v>
      </c>
      <c r="L56" s="50">
        <f t="shared" si="9"/>
        <v>7603.6647999999996</v>
      </c>
      <c r="M56" s="50">
        <f t="shared" si="9"/>
        <v>6069.0022999999992</v>
      </c>
      <c r="N56" s="50">
        <f t="shared" si="9"/>
        <v>27336.089800000002</v>
      </c>
      <c r="O56" s="50">
        <f t="shared" si="9"/>
        <v>8772.014799999999</v>
      </c>
      <c r="P56" s="50">
        <f t="shared" si="9"/>
        <v>9772.0148000000008</v>
      </c>
      <c r="Q56" s="38">
        <f>SUM(E56:P56)</f>
        <v>173689.5078419355</v>
      </c>
      <c r="R56" s="39">
        <f>SUM(R15:R55)</f>
        <v>206422.51</v>
      </c>
      <c r="S56" s="37"/>
    </row>
    <row r="58" spans="1:19" s="45" customFormat="1" x14ac:dyDescent="0.25">
      <c r="A58" s="45" t="s">
        <v>267</v>
      </c>
      <c r="B58" s="40"/>
      <c r="C58" s="40"/>
      <c r="D58" s="41"/>
      <c r="E58" s="42">
        <f>SUM(E15:E29)</f>
        <v>4441.6293000000005</v>
      </c>
      <c r="F58" s="42">
        <f t="shared" ref="F58:P58" si="10">SUM(F15:F29)</f>
        <v>3371.6293000000001</v>
      </c>
      <c r="G58" s="42">
        <f t="shared" si="10"/>
        <v>3371.6293000000001</v>
      </c>
      <c r="H58" s="42">
        <f t="shared" si="10"/>
        <v>6988.6293000000005</v>
      </c>
      <c r="I58" s="42">
        <f t="shared" si="10"/>
        <v>8448.6970419354839</v>
      </c>
      <c r="J58" s="42">
        <f t="shared" si="10"/>
        <v>3842.2793000000001</v>
      </c>
      <c r="K58" s="42">
        <f t="shared" si="10"/>
        <v>3909.7793000000001</v>
      </c>
      <c r="L58" s="42">
        <f t="shared" si="10"/>
        <v>6409.7793000000001</v>
      </c>
      <c r="M58" s="42">
        <f t="shared" si="10"/>
        <v>3983.1167999999998</v>
      </c>
      <c r="N58" s="42">
        <f t="shared" si="10"/>
        <v>4056.4543000000003</v>
      </c>
      <c r="O58" s="42">
        <f t="shared" si="10"/>
        <v>7656.1293000000005</v>
      </c>
      <c r="P58" s="42">
        <f t="shared" si="10"/>
        <v>5156.1293000000005</v>
      </c>
      <c r="Q58" s="43">
        <f>SUM(E58:P58)</f>
        <v>61635.881841935494</v>
      </c>
      <c r="R58" s="44">
        <f>'[1]Op Budget 2015'!Q56</f>
        <v>52312.03</v>
      </c>
      <c r="S58" s="42"/>
    </row>
    <row r="60" spans="1:19" s="45" customFormat="1" x14ac:dyDescent="0.25">
      <c r="A60" s="45" t="s">
        <v>268</v>
      </c>
      <c r="B60" s="40"/>
      <c r="C60" s="40"/>
      <c r="D60" s="41"/>
      <c r="E60" s="42">
        <f>('[1]Min Rent 2015'!$C$15*0.5)/12</f>
        <v>912.375</v>
      </c>
      <c r="F60" s="42">
        <f>('[1]Min Rent 2015'!$C$15*0.5)/12</f>
        <v>912.375</v>
      </c>
      <c r="G60" s="42">
        <f>('[1]Min Rent 2015'!$C$15*0.5)/12</f>
        <v>912.375</v>
      </c>
      <c r="H60" s="42">
        <f>('[1]Min Rent 2015'!$C$15*0.5)/12</f>
        <v>912.375</v>
      </c>
      <c r="I60" s="42">
        <f>('[1]Min Rent 2015'!$C$15*0.5)/12</f>
        <v>912.375</v>
      </c>
      <c r="J60" s="42">
        <f>('[1]Min Rent 2015'!$C$15*0.5)/12</f>
        <v>912.375</v>
      </c>
      <c r="K60" s="42">
        <f>('[1]Min Rent 2015'!$C$15*0.5)/12</f>
        <v>912.375</v>
      </c>
      <c r="L60" s="42">
        <f>('[1]Min Rent 2015'!$C$15*0.5)/12</f>
        <v>912.375</v>
      </c>
      <c r="M60" s="42">
        <f>('[1]Min Rent 2015'!$C$15*0.5)/12</f>
        <v>912.375</v>
      </c>
      <c r="N60" s="42">
        <f>('[1]Min Rent 2015'!$C$15*0.5)/12</f>
        <v>912.375</v>
      </c>
      <c r="O60" s="42">
        <f>('[1]Min Rent 2015'!$C$15*0.5)/12</f>
        <v>912.375</v>
      </c>
      <c r="P60" s="42">
        <f>('[1]Min Rent 2015'!$C$15*0.5)/12</f>
        <v>912.375</v>
      </c>
      <c r="Q60" s="43">
        <f>SUM(E60:P60)</f>
        <v>10948.5</v>
      </c>
      <c r="R60" s="44"/>
      <c r="S60" s="42"/>
    </row>
    <row r="62" spans="1:19" s="34" customFormat="1" x14ac:dyDescent="0.25">
      <c r="A62" s="34" t="s">
        <v>269</v>
      </c>
      <c r="B62" s="35"/>
      <c r="C62" s="35"/>
      <c r="D62" s="36"/>
      <c r="E62" s="37">
        <f>E10-E56-E60</f>
        <v>3783.3601999999992</v>
      </c>
      <c r="F62" s="37">
        <f t="shared" ref="F62:P62" si="11">F10-F56-F60</f>
        <v>28817.110199999999</v>
      </c>
      <c r="G62" s="37">
        <f t="shared" si="11"/>
        <v>26614.110199999999</v>
      </c>
      <c r="H62" s="37">
        <f t="shared" si="11"/>
        <v>2466.3601999999992</v>
      </c>
      <c r="I62" s="37">
        <f t="shared" si="11"/>
        <v>24731.397296774201</v>
      </c>
      <c r="J62" s="37">
        <f t="shared" si="11"/>
        <v>30639.460200000001</v>
      </c>
      <c r="K62" s="37">
        <f t="shared" si="11"/>
        <v>10611.210200000001</v>
      </c>
      <c r="L62" s="37">
        <f t="shared" si="11"/>
        <v>30313.960200000001</v>
      </c>
      <c r="M62" s="37">
        <f t="shared" si="11"/>
        <v>33315.3727</v>
      </c>
      <c r="N62" s="37">
        <f t="shared" si="11"/>
        <v>13515.035199999998</v>
      </c>
      <c r="O62" s="37">
        <f t="shared" si="11"/>
        <v>35012.610200000003</v>
      </c>
      <c r="P62" s="37">
        <f t="shared" si="11"/>
        <v>34012.610199999996</v>
      </c>
      <c r="Q62" s="38">
        <f>SUM(E62:P62)</f>
        <v>273832.5969967742</v>
      </c>
      <c r="R62" s="39"/>
      <c r="S62" s="37"/>
    </row>
    <row r="64" spans="1:19" s="45" customFormat="1" x14ac:dyDescent="0.25">
      <c r="A64" s="45" t="s">
        <v>270</v>
      </c>
      <c r="B64" s="40" t="s">
        <v>205</v>
      </c>
      <c r="C64" s="40" t="s">
        <v>271</v>
      </c>
      <c r="D64" s="41"/>
      <c r="E64" s="42">
        <v>0</v>
      </c>
      <c r="F64" s="42">
        <v>0</v>
      </c>
      <c r="G64" s="42">
        <v>0</v>
      </c>
      <c r="H64" s="42">
        <f>[1]Assumptions!$I3</f>
        <v>5763.2800000000007</v>
      </c>
      <c r="I64" s="42">
        <f>[1]Assumptions!$I4</f>
        <v>5782.49</v>
      </c>
      <c r="J64" s="42">
        <f>[1]Assumptions!$I5</f>
        <v>5801.76</v>
      </c>
      <c r="K64" s="42">
        <f>[1]Assumptions!$I6</f>
        <v>5821.1</v>
      </c>
      <c r="L64" s="42">
        <f>[1]Assumptions!$I7</f>
        <v>5840.51</v>
      </c>
      <c r="M64" s="42">
        <f>[1]Assumptions!$I8</f>
        <v>5859.9700000000012</v>
      </c>
      <c r="N64" s="42">
        <f>[1]Assumptions!$I9</f>
        <v>5879.51</v>
      </c>
      <c r="O64" s="42">
        <f>[1]Assumptions!$I10</f>
        <v>5899.1100000000006</v>
      </c>
      <c r="P64" s="42">
        <f>[1]Assumptions!$I11</f>
        <v>5918.77</v>
      </c>
      <c r="Q64" s="43">
        <f>SUM(E64:P64)</f>
        <v>52566.5</v>
      </c>
      <c r="R64" s="44"/>
      <c r="S64" s="42"/>
    </row>
    <row r="65" spans="1:19" s="45" customFormat="1" x14ac:dyDescent="0.25">
      <c r="A65" s="45" t="s">
        <v>272</v>
      </c>
      <c r="B65" s="40" t="s">
        <v>205</v>
      </c>
      <c r="C65" s="40" t="s">
        <v>109</v>
      </c>
      <c r="D65" s="41"/>
      <c r="E65" s="42">
        <f>[1]Assumptions!$B$11</f>
        <v>13333.333333333334</v>
      </c>
      <c r="F65" s="42">
        <f>[1]Assumptions!$B$11</f>
        <v>13333.333333333334</v>
      </c>
      <c r="G65" s="42">
        <f>[1]Assumptions!$B$11</f>
        <v>13333.333333333334</v>
      </c>
      <c r="H65" s="42">
        <f>[1]Assumptions!$J3</f>
        <v>13333.33</v>
      </c>
      <c r="I65" s="42">
        <f>[1]Assumptions!$J4</f>
        <v>13314.12</v>
      </c>
      <c r="J65" s="42">
        <f>[1]Assumptions!$J5</f>
        <v>13294.85</v>
      </c>
      <c r="K65" s="42">
        <f>[1]Assumptions!$J6</f>
        <v>13275.51</v>
      </c>
      <c r="L65" s="42">
        <f>[1]Assumptions!$J7</f>
        <v>13256.1</v>
      </c>
      <c r="M65" s="42">
        <f>[1]Assumptions!$J8</f>
        <v>13236.64</v>
      </c>
      <c r="N65" s="42">
        <f>[1]Assumptions!$J9</f>
        <v>13217.1</v>
      </c>
      <c r="O65" s="42">
        <f>[1]Assumptions!$J10</f>
        <v>13197.5</v>
      </c>
      <c r="P65" s="42">
        <f>[1]Assumptions!$J11</f>
        <v>13177.84</v>
      </c>
      <c r="Q65" s="43">
        <f>SUM(E65:P65)</f>
        <v>159302.99</v>
      </c>
      <c r="R65" s="44"/>
      <c r="S65" s="42"/>
    </row>
    <row r="67" spans="1:19" s="34" customFormat="1" x14ac:dyDescent="0.25">
      <c r="A67" s="34" t="s">
        <v>273</v>
      </c>
      <c r="B67" s="35"/>
      <c r="C67" s="35"/>
      <c r="D67" s="36"/>
      <c r="E67" s="37">
        <f>E62-(E64+E65)</f>
        <v>-9549.9731333333348</v>
      </c>
      <c r="F67" s="37">
        <f t="shared" ref="F67:P67" si="12">F62-(F64+F65)</f>
        <v>15483.776866666665</v>
      </c>
      <c r="G67" s="37">
        <f t="shared" si="12"/>
        <v>13280.776866666665</v>
      </c>
      <c r="H67" s="37">
        <f t="shared" si="12"/>
        <v>-16630.249800000001</v>
      </c>
      <c r="I67" s="37">
        <f t="shared" si="12"/>
        <v>5634.7872967742005</v>
      </c>
      <c r="J67" s="37">
        <f t="shared" si="12"/>
        <v>11542.850200000001</v>
      </c>
      <c r="K67" s="37">
        <f t="shared" si="12"/>
        <v>-8485.3997999999992</v>
      </c>
      <c r="L67" s="37">
        <f t="shared" si="12"/>
        <v>11217.350200000001</v>
      </c>
      <c r="M67" s="37">
        <f t="shared" si="12"/>
        <v>14218.762699999999</v>
      </c>
      <c r="N67" s="37">
        <f t="shared" si="12"/>
        <v>-5581.5748000000021</v>
      </c>
      <c r="O67" s="37">
        <f t="shared" si="12"/>
        <v>15916.000200000002</v>
      </c>
      <c r="P67" s="37">
        <f t="shared" si="12"/>
        <v>14916.000199999995</v>
      </c>
      <c r="Q67" s="38">
        <f>SUM(E67:P67)</f>
        <v>61963.106996774186</v>
      </c>
      <c r="R67" s="39"/>
      <c r="S67" s="37"/>
    </row>
    <row r="69" spans="1:19" s="45" customFormat="1" x14ac:dyDescent="0.25">
      <c r="A69" s="45" t="s">
        <v>274</v>
      </c>
      <c r="B69" s="40"/>
      <c r="C69" s="40"/>
      <c r="D69" s="41"/>
      <c r="E69" s="42">
        <f>'[1]Broker''s Comm'!K14</f>
        <v>9137</v>
      </c>
      <c r="F69" s="42">
        <f>'[1]Broker''s Comm'!L14</f>
        <v>0</v>
      </c>
      <c r="G69" s="42">
        <f>'[1]Broker''s Comm'!M14</f>
        <v>0</v>
      </c>
      <c r="H69" s="42">
        <f>'[1]Broker''s Comm'!N14</f>
        <v>15419</v>
      </c>
      <c r="I69" s="42">
        <f>'[1]Broker''s Comm'!O14</f>
        <v>4204.8355000000001</v>
      </c>
      <c r="J69" s="42">
        <f>'[1]Broker''s Comm'!P14</f>
        <v>1773.9150025162505</v>
      </c>
      <c r="K69" s="42">
        <f>'[1]Broker''s Comm'!Q14</f>
        <v>15419</v>
      </c>
      <c r="L69" s="42">
        <f>'[1]Broker''s Comm'!R14</f>
        <v>0</v>
      </c>
      <c r="M69" s="42">
        <f>'[1]Broker''s Comm'!S14</f>
        <v>0</v>
      </c>
      <c r="N69" s="42">
        <f>'[1]Broker''s Comm'!T14</f>
        <v>1773.9150025162505</v>
      </c>
      <c r="O69" s="42">
        <f>'[1]Broker''s Comm'!U14</f>
        <v>4204.8355000000001</v>
      </c>
      <c r="P69" s="42">
        <f>'[1]Broker''s Comm'!V14</f>
        <v>3547.830005032501</v>
      </c>
      <c r="Q69" s="43">
        <f>SUM(E69:P69)</f>
        <v>55480.331010065005</v>
      </c>
      <c r="R69" s="44"/>
      <c r="S69" s="42"/>
    </row>
    <row r="71" spans="1:19" s="45" customFormat="1" x14ac:dyDescent="0.25">
      <c r="A71" s="45" t="s">
        <v>275</v>
      </c>
      <c r="B71" s="40" t="s">
        <v>205</v>
      </c>
      <c r="C71" s="40" t="s">
        <v>132</v>
      </c>
      <c r="D71" s="41"/>
      <c r="E71" s="42">
        <v>0</v>
      </c>
      <c r="F71" s="42">
        <v>0</v>
      </c>
      <c r="G71" s="42">
        <v>0</v>
      </c>
      <c r="H71" s="42">
        <v>48000</v>
      </c>
      <c r="I71" s="42">
        <f>[1]Assumptions!P10+[1]Assumptions!P19+[1]Assumptions!P28</f>
        <v>0</v>
      </c>
      <c r="J71" s="42">
        <v>0</v>
      </c>
      <c r="K71" s="42">
        <v>0</v>
      </c>
      <c r="L71" s="42">
        <v>0</v>
      </c>
      <c r="M71" s="42">
        <v>0</v>
      </c>
      <c r="N71" s="42">
        <v>0</v>
      </c>
      <c r="O71" s="42">
        <v>0</v>
      </c>
      <c r="P71" s="42">
        <v>0</v>
      </c>
      <c r="Q71" s="43">
        <f>SUM(E71:P71)</f>
        <v>48000</v>
      </c>
      <c r="R71" s="44"/>
      <c r="S71" s="42"/>
    </row>
    <row r="73" spans="1:19" s="45" customFormat="1" x14ac:dyDescent="0.25">
      <c r="A73" s="45" t="s">
        <v>276</v>
      </c>
      <c r="B73" s="40" t="s">
        <v>205</v>
      </c>
      <c r="C73" s="40" t="s">
        <v>277</v>
      </c>
      <c r="D73" s="41"/>
      <c r="E73" s="42">
        <v>0</v>
      </c>
      <c r="F73" s="42">
        <v>0</v>
      </c>
      <c r="G73" s="42">
        <v>0</v>
      </c>
      <c r="H73" s="42">
        <f>[1]Assumptions!P11+[1]Assumptions!P20+[1]Assumptions!P29+[1]Assumptions!P34</f>
        <v>74029</v>
      </c>
      <c r="I73" s="42">
        <f>[1]Assumptions!P12+[1]Assumptions!P21+[1]Assumptions!P30</f>
        <v>39029</v>
      </c>
      <c r="J73" s="42">
        <f>[1]Assumptions!P31</f>
        <v>10681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3">
        <f>SUM(E73:P73)</f>
        <v>123739</v>
      </c>
      <c r="R73" s="44"/>
      <c r="S73" s="42"/>
    </row>
    <row r="75" spans="1:19" s="45" customFormat="1" x14ac:dyDescent="0.25">
      <c r="A75" s="45" t="s">
        <v>278</v>
      </c>
      <c r="B75" s="40"/>
      <c r="C75" s="40"/>
      <c r="D75" s="41"/>
      <c r="E75" s="42">
        <f>[1]Assumptions!$B$5/12</f>
        <v>0</v>
      </c>
      <c r="F75" s="42">
        <f>[1]Assumptions!$B$5/12</f>
        <v>0</v>
      </c>
      <c r="G75" s="42">
        <f>[1]Assumptions!$B$5/12</f>
        <v>0</v>
      </c>
      <c r="H75" s="42">
        <f>[1]Assumptions!$B$5/12</f>
        <v>0</v>
      </c>
      <c r="I75" s="42">
        <f>[1]Assumptions!$B$5/12</f>
        <v>0</v>
      </c>
      <c r="J75" s="42">
        <f>[1]Assumptions!$B$5/12</f>
        <v>0</v>
      </c>
      <c r="K75" s="42">
        <f>[1]Assumptions!$B$5/12</f>
        <v>0</v>
      </c>
      <c r="L75" s="42">
        <f>[1]Assumptions!$B$5/12</f>
        <v>0</v>
      </c>
      <c r="M75" s="42">
        <f>[1]Assumptions!$B$5/12</f>
        <v>0</v>
      </c>
      <c r="N75" s="42">
        <f>[1]Assumptions!$B$5/12</f>
        <v>0</v>
      </c>
      <c r="O75" s="42">
        <f>[1]Assumptions!$B$5/12</f>
        <v>0</v>
      </c>
      <c r="P75" s="42">
        <f>[1]Assumptions!$B$5/12</f>
        <v>0</v>
      </c>
      <c r="Q75" s="43">
        <f>SUM(E75:P75)</f>
        <v>0</v>
      </c>
      <c r="R75" s="44"/>
      <c r="S75" s="42"/>
    </row>
    <row r="76" spans="1:19" s="34" customFormat="1" x14ac:dyDescent="0.25">
      <c r="A76" s="34" t="s">
        <v>279</v>
      </c>
      <c r="B76" s="35"/>
      <c r="C76" s="35"/>
      <c r="D76" s="36"/>
      <c r="E76" s="37">
        <f>E67-(E75+E69+E71+E73)</f>
        <v>-18686.973133333333</v>
      </c>
      <c r="F76" s="37">
        <f t="shared" ref="F76:P76" si="13">F67-(F75+F69+F71+F73)</f>
        <v>15483.776866666665</v>
      </c>
      <c r="G76" s="37">
        <f t="shared" si="13"/>
        <v>13280.776866666665</v>
      </c>
      <c r="H76" s="37">
        <f t="shared" si="13"/>
        <v>-154078.24979999999</v>
      </c>
      <c r="I76" s="37">
        <f t="shared" si="13"/>
        <v>-37599.048203225801</v>
      </c>
      <c r="J76" s="37">
        <f t="shared" si="13"/>
        <v>-912.06480251624998</v>
      </c>
      <c r="K76" s="37">
        <f t="shared" si="13"/>
        <v>-23904.399799999999</v>
      </c>
      <c r="L76" s="37">
        <f t="shared" si="13"/>
        <v>11217.350200000001</v>
      </c>
      <c r="M76" s="37">
        <f t="shared" si="13"/>
        <v>14218.762699999999</v>
      </c>
      <c r="N76" s="37">
        <f t="shared" si="13"/>
        <v>-7355.4898025162529</v>
      </c>
      <c r="O76" s="37">
        <f t="shared" si="13"/>
        <v>11711.164700000001</v>
      </c>
      <c r="P76" s="37">
        <f t="shared" si="13"/>
        <v>11368.170194967493</v>
      </c>
      <c r="Q76" s="38">
        <f>SUM(E76:P76)</f>
        <v>-165256.2240132908</v>
      </c>
      <c r="R76" s="39"/>
      <c r="S76" s="37"/>
    </row>
    <row r="78" spans="1:19" s="45" customFormat="1" x14ac:dyDescent="0.25">
      <c r="A78" s="45" t="s">
        <v>280</v>
      </c>
      <c r="B78" s="40"/>
      <c r="C78" s="40"/>
      <c r="D78" s="41">
        <v>6972.42</v>
      </c>
      <c r="E78" s="42">
        <f>$D78</f>
        <v>6972.42</v>
      </c>
      <c r="F78" s="42">
        <f t="shared" ref="F78:P78" si="14">$D78</f>
        <v>6972.42</v>
      </c>
      <c r="G78" s="42">
        <f t="shared" si="14"/>
        <v>6972.42</v>
      </c>
      <c r="H78" s="42">
        <f t="shared" si="14"/>
        <v>6972.42</v>
      </c>
      <c r="I78" s="42">
        <f t="shared" si="14"/>
        <v>6972.42</v>
      </c>
      <c r="J78" s="42">
        <f t="shared" si="14"/>
        <v>6972.42</v>
      </c>
      <c r="K78" s="42">
        <f t="shared" si="14"/>
        <v>6972.42</v>
      </c>
      <c r="L78" s="42">
        <f t="shared" si="14"/>
        <v>6972.42</v>
      </c>
      <c r="M78" s="42">
        <f t="shared" si="14"/>
        <v>6972.42</v>
      </c>
      <c r="N78" s="42">
        <f t="shared" si="14"/>
        <v>6972.42</v>
      </c>
      <c r="O78" s="42">
        <f t="shared" si="14"/>
        <v>6972.42</v>
      </c>
      <c r="P78" s="42">
        <f t="shared" si="14"/>
        <v>6972.42</v>
      </c>
      <c r="Q78" s="43">
        <f>SUM(E78:P78)</f>
        <v>83669.039999999994</v>
      </c>
      <c r="R78" s="44"/>
      <c r="S78" s="42"/>
    </row>
    <row r="80" spans="1:19" s="34" customFormat="1" x14ac:dyDescent="0.25">
      <c r="A80" s="34" t="s">
        <v>281</v>
      </c>
      <c r="B80" s="35"/>
      <c r="C80" s="35"/>
      <c r="D80" s="36"/>
      <c r="E80" s="37">
        <f>'[1]Op Budget 2015'!P73</f>
        <v>84180.56</v>
      </c>
      <c r="F80" s="37">
        <f>E81</f>
        <v>89347.83</v>
      </c>
      <c r="G80" s="37">
        <f t="shared" ref="G80:P80" si="15">F81</f>
        <v>97998.720000000001</v>
      </c>
      <c r="H80" s="37">
        <f t="shared" si="15"/>
        <v>404307.07686666673</v>
      </c>
      <c r="I80" s="37">
        <f t="shared" si="15"/>
        <v>265420.15706666675</v>
      </c>
      <c r="J80" s="37">
        <f t="shared" si="15"/>
        <v>220848.68886344094</v>
      </c>
      <c r="K80" s="37">
        <f t="shared" si="15"/>
        <v>212964.20406092468</v>
      </c>
      <c r="L80" s="37">
        <f t="shared" si="15"/>
        <v>204251.13426092468</v>
      </c>
      <c r="M80" s="37">
        <f t="shared" si="15"/>
        <v>208496.06446092468</v>
      </c>
      <c r="N80" s="37">
        <f t="shared" si="15"/>
        <v>215742.40716092466</v>
      </c>
      <c r="O80" s="37">
        <f t="shared" si="15"/>
        <v>223578.24735840841</v>
      </c>
      <c r="P80" s="37">
        <f t="shared" si="15"/>
        <v>228316.99205840839</v>
      </c>
      <c r="Q80" s="38"/>
      <c r="R80" s="39"/>
      <c r="S80" s="37"/>
    </row>
    <row r="81" spans="1:19" s="34" customFormat="1" x14ac:dyDescent="0.25">
      <c r="A81" s="34" t="s">
        <v>282</v>
      </c>
      <c r="B81" s="35"/>
      <c r="C81" s="35"/>
      <c r="D81" s="36"/>
      <c r="E81" s="37">
        <v>89347.83</v>
      </c>
      <c r="F81" s="37">
        <v>97998.720000000001</v>
      </c>
      <c r="G81" s="37">
        <f>G12+G76+G80+G34-G78</f>
        <v>404307.07686666673</v>
      </c>
      <c r="H81" s="37">
        <f t="shared" ref="H81:P81" si="16">H76+H80+H34-H78</f>
        <v>265420.15706666675</v>
      </c>
      <c r="I81" s="37">
        <f t="shared" si="16"/>
        <v>220848.68886344094</v>
      </c>
      <c r="J81" s="37">
        <f t="shared" si="16"/>
        <v>212964.20406092468</v>
      </c>
      <c r="K81" s="37">
        <f t="shared" si="16"/>
        <v>204251.13426092468</v>
      </c>
      <c r="L81" s="37">
        <f t="shared" si="16"/>
        <v>208496.06446092468</v>
      </c>
      <c r="M81" s="37">
        <f t="shared" si="16"/>
        <v>215742.40716092466</v>
      </c>
      <c r="N81" s="37">
        <f t="shared" si="16"/>
        <v>223578.24735840841</v>
      </c>
      <c r="O81" s="37">
        <f t="shared" si="16"/>
        <v>228316.99205840839</v>
      </c>
      <c r="P81" s="37">
        <f t="shared" si="16"/>
        <v>232712.74225337588</v>
      </c>
      <c r="Q81" s="38"/>
      <c r="R81" s="39"/>
      <c r="S81" s="37"/>
    </row>
    <row r="83" spans="1:19" ht="15.75" x14ac:dyDescent="0.25">
      <c r="E83" s="51" t="s">
        <v>283</v>
      </c>
      <c r="O83" s="52" t="s">
        <v>284</v>
      </c>
      <c r="P83" s="15">
        <v>90000</v>
      </c>
    </row>
    <row r="84" spans="1:19" x14ac:dyDescent="0.25">
      <c r="P84" s="53"/>
    </row>
    <row r="85" spans="1:19" x14ac:dyDescent="0.25">
      <c r="O85" s="52" t="s">
        <v>285</v>
      </c>
      <c r="P85" s="15">
        <f>P81-P83</f>
        <v>142712.74225337588</v>
      </c>
    </row>
  </sheetData>
  <pageMargins left="0.7" right="0.7" top="0.75" bottom="0.75" header="0.3" footer="0.3"/>
  <pageSetup paperSize="5" scale="5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E243"/>
  <sheetViews>
    <sheetView tabSelected="1" zoomScaleNormal="100" zoomScaleSheetLayoutView="70" workbookViewId="0">
      <pane ySplit="5" topLeftCell="A89" activePane="bottomLeft" state="frozen"/>
      <selection pane="bottomLeft" activeCell="D206" sqref="D206"/>
    </sheetView>
  </sheetViews>
  <sheetFormatPr defaultRowHeight="15" outlineLevelRow="1" outlineLevelCol="1" x14ac:dyDescent="0.25"/>
  <cols>
    <col min="1" max="1" width="11.42578125" customWidth="1"/>
    <col min="2" max="2" width="37.140625" customWidth="1"/>
    <col min="3" max="3" width="17.140625" style="141" customWidth="1"/>
    <col min="4" max="15" width="13.7109375" style="140" customWidth="1" outlineLevel="1"/>
    <col min="16" max="16" width="17.140625" style="141" customWidth="1"/>
    <col min="17" max="17" width="17.140625" style="141" customWidth="1" collapsed="1"/>
    <col min="18" max="18" width="11.7109375" style="187" customWidth="1"/>
    <col min="19" max="19" width="63.7109375" customWidth="1"/>
    <col min="20" max="20" width="10.5703125" bestFit="1" customWidth="1"/>
    <col min="21" max="21" width="20.42578125" bestFit="1" customWidth="1"/>
    <col min="22" max="22" width="10.5703125" bestFit="1" customWidth="1"/>
    <col min="23" max="23" width="21.140625" bestFit="1" customWidth="1"/>
    <col min="24" max="28" width="10.5703125" bestFit="1" customWidth="1"/>
  </cols>
  <sheetData>
    <row r="1" spans="1:19" ht="19.5" x14ac:dyDescent="0.25">
      <c r="A1" s="221" t="s">
        <v>510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181"/>
    </row>
    <row r="2" spans="1:19" ht="15.75" x14ac:dyDescent="0.25">
      <c r="A2" s="222" t="s">
        <v>392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182"/>
    </row>
    <row r="3" spans="1:19" x14ac:dyDescent="0.25">
      <c r="A3" s="126"/>
      <c r="B3" s="126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86"/>
    </row>
    <row r="4" spans="1:19" x14ac:dyDescent="0.25">
      <c r="A4" s="126"/>
      <c r="B4" s="126"/>
      <c r="C4" s="131"/>
      <c r="D4" s="131"/>
      <c r="E4" s="131"/>
      <c r="F4" s="131"/>
      <c r="G4" s="131"/>
      <c r="H4" s="131"/>
      <c r="I4" s="131"/>
      <c r="J4" s="131"/>
      <c r="K4" s="131"/>
      <c r="L4" s="131"/>
      <c r="M4" s="131"/>
      <c r="N4" s="131"/>
      <c r="O4" s="131"/>
      <c r="P4" s="131"/>
      <c r="Q4" s="131"/>
      <c r="R4" s="186"/>
    </row>
    <row r="5" spans="1:19" s="11" customFormat="1" ht="21.75" thickBot="1" x14ac:dyDescent="0.3">
      <c r="A5" s="10"/>
      <c r="B5" s="10"/>
      <c r="C5" s="132" t="s">
        <v>286</v>
      </c>
      <c r="D5" s="144">
        <v>42736</v>
      </c>
      <c r="E5" s="144">
        <v>42767</v>
      </c>
      <c r="F5" s="144">
        <v>42795</v>
      </c>
      <c r="G5" s="144">
        <v>42826</v>
      </c>
      <c r="H5" s="144">
        <v>42856</v>
      </c>
      <c r="I5" s="144">
        <v>42887</v>
      </c>
      <c r="J5" s="144">
        <v>42917</v>
      </c>
      <c r="K5" s="144">
        <v>42948</v>
      </c>
      <c r="L5" s="144">
        <v>42979</v>
      </c>
      <c r="M5" s="144">
        <v>43009</v>
      </c>
      <c r="N5" s="144">
        <v>43040</v>
      </c>
      <c r="O5" s="144">
        <v>43070</v>
      </c>
      <c r="P5" s="132" t="s">
        <v>433</v>
      </c>
      <c r="Q5" s="132" t="s">
        <v>0</v>
      </c>
      <c r="R5" s="183" t="s">
        <v>509</v>
      </c>
      <c r="S5" s="132" t="s">
        <v>203</v>
      </c>
    </row>
    <row r="6" spans="1:19" x14ac:dyDescent="0.25">
      <c r="A6" s="1"/>
      <c r="B6" s="5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84"/>
    </row>
    <row r="7" spans="1:19" x14ac:dyDescent="0.25">
      <c r="A7" s="1" t="s">
        <v>1</v>
      </c>
      <c r="B7" s="5" t="s">
        <v>2</v>
      </c>
      <c r="C7" s="128"/>
      <c r="D7" s="128"/>
      <c r="E7" s="128"/>
      <c r="F7" s="128"/>
      <c r="G7" s="128"/>
      <c r="H7" s="128"/>
      <c r="I7" s="128"/>
      <c r="J7" s="128"/>
      <c r="K7" s="128"/>
      <c r="L7" s="128"/>
      <c r="M7" s="128"/>
      <c r="N7" s="128"/>
      <c r="O7" s="128"/>
      <c r="P7" s="128"/>
      <c r="Q7" s="128"/>
      <c r="R7" s="184"/>
    </row>
    <row r="8" spans="1:19" x14ac:dyDescent="0.25">
      <c r="A8" s="1"/>
      <c r="B8" s="5"/>
      <c r="C8" s="133"/>
      <c r="D8" s="133"/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84"/>
    </row>
    <row r="9" spans="1:19" x14ac:dyDescent="0.25">
      <c r="A9" s="1" t="s">
        <v>3</v>
      </c>
      <c r="B9" s="5" t="s">
        <v>4</v>
      </c>
      <c r="C9" s="128"/>
      <c r="D9" s="128"/>
      <c r="E9" s="128"/>
      <c r="F9" s="128"/>
      <c r="G9" s="128"/>
      <c r="H9" s="128"/>
      <c r="I9" s="128"/>
      <c r="J9" s="128"/>
      <c r="K9" s="128"/>
      <c r="L9" s="128"/>
      <c r="M9" s="128"/>
      <c r="N9" s="128"/>
      <c r="O9" s="128"/>
      <c r="P9" s="128"/>
      <c r="Q9" s="128"/>
      <c r="R9" s="184"/>
    </row>
    <row r="10" spans="1:19" x14ac:dyDescent="0.25">
      <c r="A10" s="1" t="s">
        <v>5</v>
      </c>
      <c r="B10" s="5" t="s">
        <v>6</v>
      </c>
      <c r="C10" s="134">
        <f>SUM(C11:C25)</f>
        <v>727513</v>
      </c>
      <c r="D10" s="134">
        <f>SUM(D11:D25)</f>
        <v>64549.13</v>
      </c>
      <c r="E10" s="134">
        <f t="shared" ref="E10:O10" si="0">SUM(E11:E25)</f>
        <v>64549.13</v>
      </c>
      <c r="F10" s="134">
        <f t="shared" si="0"/>
        <v>64549.13</v>
      </c>
      <c r="G10" s="134">
        <f t="shared" si="0"/>
        <v>64549.13</v>
      </c>
      <c r="H10" s="134">
        <f t="shared" si="0"/>
        <v>64783.45</v>
      </c>
      <c r="I10" s="134">
        <f t="shared" si="0"/>
        <v>64783.45</v>
      </c>
      <c r="J10" s="134">
        <f t="shared" si="0"/>
        <v>64783.45</v>
      </c>
      <c r="K10" s="134">
        <f t="shared" si="0"/>
        <v>64813.84</v>
      </c>
      <c r="L10" s="134">
        <f t="shared" si="0"/>
        <v>65361.16</v>
      </c>
      <c r="M10" s="134">
        <f t="shared" si="0"/>
        <v>65435.92</v>
      </c>
      <c r="N10" s="134">
        <f t="shared" si="0"/>
        <v>65435.92</v>
      </c>
      <c r="O10" s="134">
        <f t="shared" si="0"/>
        <v>65435.92</v>
      </c>
      <c r="P10" s="134">
        <f>SUM(P11:P25)</f>
        <v>779029.63</v>
      </c>
      <c r="Q10" s="134">
        <f>IF(C10&lt;&gt;"",P10-C10,"")</f>
        <v>51516.630000000005</v>
      </c>
      <c r="R10" s="185">
        <f>IF(C10&lt;&gt;0,Q10/C10,"")</f>
        <v>7.0811971744834806E-2</v>
      </c>
    </row>
    <row r="11" spans="1:19" hidden="1" outlineLevel="1" x14ac:dyDescent="0.25">
      <c r="A11" s="1"/>
      <c r="B11" s="31" t="s">
        <v>511</v>
      </c>
      <c r="C11" s="128">
        <v>41697</v>
      </c>
      <c r="D11" s="203">
        <f>VLOOKUP($B11,'Min Rent 2017'!$A$5:$P$26,5,FALSE)</f>
        <v>3588.64</v>
      </c>
      <c r="E11" s="128">
        <f>VLOOKUP($B11,'Min Rent 2017'!$A$5:$P$26,6,FALSE)</f>
        <v>3588.64</v>
      </c>
      <c r="F11" s="128">
        <f>VLOOKUP($B11,'Min Rent 2017'!$A$5:$P$26,7,FALSE)</f>
        <v>3588.64</v>
      </c>
      <c r="G11" s="128">
        <f>VLOOKUP($B11,'Min Rent 2017'!$A$5:$P$26,8,FALSE)</f>
        <v>3588.64</v>
      </c>
      <c r="H11" s="128">
        <f>VLOOKUP($B11,'Min Rent 2017'!$A$5:$P$26,9,FALSE)</f>
        <v>3588.64</v>
      </c>
      <c r="I11" s="128">
        <f>VLOOKUP($B11,'Min Rent 2017'!$A$5:$P$26,10,FALSE)</f>
        <v>3588.64</v>
      </c>
      <c r="J11" s="128">
        <f>VLOOKUP($B11,'Min Rent 2017'!$A$5:$P$26,11,FALSE)</f>
        <v>3588.64</v>
      </c>
      <c r="K11" s="128">
        <f>VLOOKUP($B11,'Min Rent 2017'!$A$5:$P$26,12,FALSE)</f>
        <v>3588.64</v>
      </c>
      <c r="L11" s="128">
        <f>VLOOKUP($B11,'Min Rent 2017'!$A$5:$P$26,13,FALSE)</f>
        <v>3588.64</v>
      </c>
      <c r="M11" s="128">
        <f>VLOOKUP($B11,'Min Rent 2017'!$A$5:$P$26,14,FALSE)</f>
        <v>3588.64</v>
      </c>
      <c r="N11" s="128">
        <f>VLOOKUP($B11,'Min Rent 2017'!$A$5:$P$26,15,FALSE)</f>
        <v>3588.64</v>
      </c>
      <c r="O11" s="128">
        <f>VLOOKUP($B11,'Min Rent 2017'!$A$5:$P$26,16,FALSE)</f>
        <v>3588.64</v>
      </c>
      <c r="P11" s="128">
        <f t="shared" ref="P11:P25" si="1">SUM(D11:O11)</f>
        <v>43063.68</v>
      </c>
      <c r="Q11" s="128">
        <f t="shared" ref="Q11:Q95" si="2">IF(C11&lt;&gt;"",P11-C11,"")</f>
        <v>1366.6800000000003</v>
      </c>
      <c r="R11" s="185">
        <f t="shared" ref="R11:R95" si="3">IF(C11&lt;&gt;0,Q11/C11,"")</f>
        <v>3.2776458738038715E-2</v>
      </c>
    </row>
    <row r="12" spans="1:19" hidden="1" outlineLevel="1" x14ac:dyDescent="0.25">
      <c r="A12" s="1"/>
      <c r="B12" s="31" t="s">
        <v>512</v>
      </c>
      <c r="C12" s="128">
        <v>28035</v>
      </c>
      <c r="D12" s="128">
        <f>VLOOKUP($B12,'Min Rent 2017'!$A$5:$P$26,5,FALSE)</f>
        <v>2492</v>
      </c>
      <c r="E12" s="128">
        <f>VLOOKUP($B12,'Min Rent 2017'!$A$5:$P$26,6,FALSE)</f>
        <v>2492</v>
      </c>
      <c r="F12" s="128">
        <f>VLOOKUP($B12,'Min Rent 2017'!$A$5:$P$26,7,FALSE)</f>
        <v>2492</v>
      </c>
      <c r="G12" s="128">
        <f>VLOOKUP($B12,'Min Rent 2017'!$A$5:$P$26,8,FALSE)</f>
        <v>2492</v>
      </c>
      <c r="H12" s="128">
        <f>VLOOKUP($B12,'Min Rent 2017'!$A$5:$P$26,9,FALSE)</f>
        <v>2492</v>
      </c>
      <c r="I12" s="128">
        <f>VLOOKUP($B12,'Min Rent 2017'!$A$5:$P$26,10,FALSE)</f>
        <v>2492</v>
      </c>
      <c r="J12" s="128">
        <f>VLOOKUP($B12,'Min Rent 2017'!$A$5:$P$26,11,FALSE)</f>
        <v>2492</v>
      </c>
      <c r="K12" s="128">
        <f>VLOOKUP($B12,'Min Rent 2017'!$A$5:$P$26,12,FALSE)</f>
        <v>2492</v>
      </c>
      <c r="L12" s="128">
        <f>VLOOKUP($B12,'Min Rent 2017'!$A$5:$P$26,13,FALSE)</f>
        <v>2492</v>
      </c>
      <c r="M12" s="203">
        <f>VLOOKUP($B12,'Min Rent 2017'!$A$5:$P$26,14,FALSE)</f>
        <v>2566.7600000000002</v>
      </c>
      <c r="N12" s="128">
        <f>VLOOKUP($B12,'Min Rent 2017'!$A$5:$P$26,15,FALSE)</f>
        <v>2566.7600000000002</v>
      </c>
      <c r="O12" s="128">
        <f>VLOOKUP($B12,'Min Rent 2017'!$A$5:$P$26,16,FALSE)</f>
        <v>2566.7600000000002</v>
      </c>
      <c r="P12" s="128">
        <f t="shared" si="1"/>
        <v>30128.280000000006</v>
      </c>
      <c r="Q12" s="128">
        <f t="shared" si="2"/>
        <v>2093.2800000000061</v>
      </c>
      <c r="R12" s="185">
        <f t="shared" si="3"/>
        <v>7.4666666666666881E-2</v>
      </c>
    </row>
    <row r="13" spans="1:19" hidden="1" outlineLevel="1" x14ac:dyDescent="0.25">
      <c r="A13" s="1"/>
      <c r="B13" s="31" t="s">
        <v>513</v>
      </c>
      <c r="C13" s="128">
        <v>73167</v>
      </c>
      <c r="D13" s="128">
        <f>VLOOKUP($B13,'Min Rent 2017'!$A$5:$P$26,5,FALSE)</f>
        <v>6097.21</v>
      </c>
      <c r="E13" s="128">
        <f>VLOOKUP($B13,'Min Rent 2017'!$A$5:$P$26,6,FALSE)</f>
        <v>6097.21</v>
      </c>
      <c r="F13" s="128">
        <f>VLOOKUP($B13,'Min Rent 2017'!$A$5:$P$26,7,FALSE)</f>
        <v>6097.21</v>
      </c>
      <c r="G13" s="128">
        <f>VLOOKUP($B13,'Min Rent 2017'!$A$5:$P$26,8,FALSE)</f>
        <v>6097.21</v>
      </c>
      <c r="H13" s="128">
        <f>VLOOKUP($B13,'Min Rent 2017'!$A$5:$P$26,9,FALSE)</f>
        <v>6097.21</v>
      </c>
      <c r="I13" s="128">
        <f>VLOOKUP($B13,'Min Rent 2017'!$A$5:$P$26,10,FALSE)</f>
        <v>6097.21</v>
      </c>
      <c r="J13" s="128">
        <f>VLOOKUP($B13,'Min Rent 2017'!$A$5:$P$26,11,FALSE)</f>
        <v>6097.21</v>
      </c>
      <c r="K13" s="128">
        <f>VLOOKUP($B13,'Min Rent 2017'!$A$5:$P$26,12,FALSE)</f>
        <v>6097.21</v>
      </c>
      <c r="L13" s="128">
        <f>VLOOKUP($B13,'Min Rent 2017'!$A$5:$P$26,13,FALSE)</f>
        <v>6097.21</v>
      </c>
      <c r="M13" s="128">
        <f>VLOOKUP($B13,'Min Rent 2017'!$A$5:$P$26,14,FALSE)</f>
        <v>6097.21</v>
      </c>
      <c r="N13" s="175">
        <f>VLOOKUP($B13,'Min Rent 2017'!$A$5:$P$26,15,FALSE)</f>
        <v>6097.21</v>
      </c>
      <c r="O13" s="175">
        <f>VLOOKUP($B13,'Min Rent 2017'!$A$5:$P$26,16,FALSE)</f>
        <v>6097.21</v>
      </c>
      <c r="P13" s="128">
        <f t="shared" si="1"/>
        <v>73166.52</v>
      </c>
      <c r="Q13" s="128">
        <f t="shared" si="2"/>
        <v>-0.47999999999592546</v>
      </c>
      <c r="R13" s="185">
        <f t="shared" si="3"/>
        <v>-6.5603345770077419E-6</v>
      </c>
    </row>
    <row r="14" spans="1:19" hidden="1" outlineLevel="1" x14ac:dyDescent="0.25">
      <c r="A14" s="1"/>
      <c r="B14" s="31" t="s">
        <v>514</v>
      </c>
      <c r="C14" s="128">
        <v>80039</v>
      </c>
      <c r="D14" s="128">
        <f>VLOOKUP($B14,'Min Rent 2017'!$A$5:$P$26,5,FALSE)</f>
        <v>6669.91</v>
      </c>
      <c r="E14" s="128">
        <f>VLOOKUP($B14,'Min Rent 2017'!$A$5:$P$26,6,FALSE)</f>
        <v>6669.91</v>
      </c>
      <c r="F14" s="128">
        <f>VLOOKUP($B14,'Min Rent 2017'!$A$5:$P$26,7,FALSE)</f>
        <v>6669.91</v>
      </c>
      <c r="G14" s="128">
        <f>VLOOKUP($B14,'Min Rent 2017'!$A$5:$P$26,8,FALSE)</f>
        <v>6669.91</v>
      </c>
      <c r="H14" s="128">
        <f>VLOOKUP($B14,'Min Rent 2017'!$A$5:$P$26,9,FALSE)</f>
        <v>6669.91</v>
      </c>
      <c r="I14" s="128">
        <f>VLOOKUP($B14,'Min Rent 2017'!$A$5:$P$26,10,FALSE)</f>
        <v>6669.91</v>
      </c>
      <c r="J14" s="128">
        <f>VLOOKUP($B14,'Min Rent 2017'!$A$5:$P$26,11,FALSE)</f>
        <v>6669.91</v>
      </c>
      <c r="K14" s="128">
        <f>VLOOKUP($B14,'Min Rent 2017'!$A$5:$P$26,12,FALSE)</f>
        <v>6669.91</v>
      </c>
      <c r="L14" s="128">
        <f>VLOOKUP($B14,'Min Rent 2017'!$A$5:$P$26,13,FALSE)</f>
        <v>6669.91</v>
      </c>
      <c r="M14" s="128">
        <f>VLOOKUP($B14,'Min Rent 2017'!$A$5:$P$26,14,FALSE)</f>
        <v>6669.91</v>
      </c>
      <c r="N14" s="175">
        <f>VLOOKUP($B14,'Min Rent 2017'!$A$5:$P$26,15,FALSE)</f>
        <v>6669.91</v>
      </c>
      <c r="O14" s="175">
        <f>VLOOKUP($B14,'Min Rent 2017'!$A$5:$P$26,16,FALSE)</f>
        <v>6669.91</v>
      </c>
      <c r="P14" s="128">
        <f t="shared" si="1"/>
        <v>80038.920000000027</v>
      </c>
      <c r="Q14" s="128">
        <f t="shared" si="2"/>
        <v>-7.9999999972642399E-2</v>
      </c>
      <c r="R14" s="185">
        <f t="shared" si="3"/>
        <v>-9.9951273719864559E-7</v>
      </c>
    </row>
    <row r="15" spans="1:19" hidden="1" outlineLevel="1" x14ac:dyDescent="0.25">
      <c r="A15" s="1"/>
      <c r="B15" s="31" t="s">
        <v>515</v>
      </c>
      <c r="C15" s="128">
        <v>83503</v>
      </c>
      <c r="D15" s="128">
        <f>VLOOKUP($B15,'Min Rent 2017'!$A$5:$P$26,5,FALSE)</f>
        <v>7367.33</v>
      </c>
      <c r="E15" s="128">
        <f>VLOOKUP($B15,'Min Rent 2017'!$A$5:$P$26,6,FALSE)</f>
        <v>7367.33</v>
      </c>
      <c r="F15" s="128">
        <f>VLOOKUP($B15,'Min Rent 2017'!$A$5:$P$26,7,FALSE)</f>
        <v>7367.33</v>
      </c>
      <c r="G15" s="128">
        <f>VLOOKUP($B15,'Min Rent 2017'!$A$5:$P$26,8,FALSE)</f>
        <v>7367.33</v>
      </c>
      <c r="H15" s="128">
        <f>VLOOKUP($B15,'Min Rent 2017'!$A$5:$P$26,9,FALSE)</f>
        <v>7367.33</v>
      </c>
      <c r="I15" s="128">
        <f>VLOOKUP($B15,'Min Rent 2017'!$A$5:$P$26,10,FALSE)</f>
        <v>7367.33</v>
      </c>
      <c r="J15" s="128">
        <f>VLOOKUP($B15,'Min Rent 2017'!$A$5:$P$26,11,FALSE)</f>
        <v>7367.33</v>
      </c>
      <c r="K15" s="128">
        <f>VLOOKUP($B15,'Min Rent 2017'!$A$5:$P$26,12,FALSE)</f>
        <v>7367.33</v>
      </c>
      <c r="L15" s="128">
        <f>VLOOKUP($B15,'Min Rent 2017'!$A$5:$P$26,13,FALSE)</f>
        <v>7367.33</v>
      </c>
      <c r="M15" s="128">
        <f>VLOOKUP($B15,'Min Rent 2017'!$A$5:$P$26,14,FALSE)</f>
        <v>7367.33</v>
      </c>
      <c r="N15" s="175">
        <f>VLOOKUP($B15,'Min Rent 2017'!$A$5:$P$26,15,FALSE)</f>
        <v>7367.33</v>
      </c>
      <c r="O15" s="175">
        <f>VLOOKUP($B15,'Min Rent 2017'!$A$5:$P$26,16,FALSE)</f>
        <v>7367.33</v>
      </c>
      <c r="P15" s="128">
        <f t="shared" si="1"/>
        <v>88407.96</v>
      </c>
      <c r="Q15" s="128">
        <f t="shared" si="2"/>
        <v>4904.9600000000064</v>
      </c>
      <c r="R15" s="185">
        <f t="shared" si="3"/>
        <v>5.8739925511658339E-2</v>
      </c>
    </row>
    <row r="16" spans="1:19" hidden="1" outlineLevel="1" x14ac:dyDescent="0.25">
      <c r="A16" s="7"/>
      <c r="B16" s="31" t="s">
        <v>516</v>
      </c>
      <c r="C16" s="128">
        <v>61500</v>
      </c>
      <c r="D16" s="128">
        <f>VLOOKUP($B16,'Min Rent 2017'!$A$5:$P$26,5,FALSE)</f>
        <v>5000</v>
      </c>
      <c r="E16" s="128">
        <f>VLOOKUP($B16,'Min Rent 2017'!$A$5:$P$26,6,FALSE)</f>
        <v>5000</v>
      </c>
      <c r="F16" s="128">
        <f>VLOOKUP($B16,'Min Rent 2017'!$A$5:$P$26,7,FALSE)</f>
        <v>5000</v>
      </c>
      <c r="G16" s="128">
        <f>VLOOKUP($B16,'Min Rent 2017'!$A$5:$P$26,8,FALSE)</f>
        <v>5000</v>
      </c>
      <c r="H16" s="128">
        <f>VLOOKUP($B16,'Min Rent 2017'!$A$5:$P$26,9,FALSE)</f>
        <v>5000</v>
      </c>
      <c r="I16" s="128">
        <f>VLOOKUP($B16,'Min Rent 2017'!$A$5:$P$26,10,FALSE)</f>
        <v>5000</v>
      </c>
      <c r="J16" s="128">
        <f>VLOOKUP($B16,'Min Rent 2017'!$A$5:$P$26,11,FALSE)</f>
        <v>5000</v>
      </c>
      <c r="K16" s="128">
        <f>VLOOKUP($B16,'Min Rent 2017'!$A$5:$P$26,12,FALSE)</f>
        <v>5000</v>
      </c>
      <c r="L16" s="128">
        <f>VLOOKUP($B16,'Min Rent 2017'!$A$5:$P$26,13,FALSE)</f>
        <v>5000</v>
      </c>
      <c r="M16" s="128">
        <f>VLOOKUP($B16,'Min Rent 2017'!$A$5:$P$26,14,FALSE)</f>
        <v>5000</v>
      </c>
      <c r="N16" s="175">
        <f>VLOOKUP($B16,'Min Rent 2017'!$A$5:$P$26,15,FALSE)</f>
        <v>5000</v>
      </c>
      <c r="O16" s="175">
        <f>VLOOKUP($B16,'Min Rent 2017'!$A$5:$P$26,16,FALSE)</f>
        <v>5000</v>
      </c>
      <c r="P16" s="128">
        <f t="shared" si="1"/>
        <v>60000</v>
      </c>
      <c r="Q16" s="128">
        <f t="shared" si="2"/>
        <v>-1500</v>
      </c>
      <c r="R16" s="185">
        <f t="shared" si="3"/>
        <v>-2.4390243902439025E-2</v>
      </c>
    </row>
    <row r="17" spans="1:19" hidden="1" outlineLevel="1" x14ac:dyDescent="0.25">
      <c r="A17" s="7"/>
      <c r="B17" s="31" t="s">
        <v>517</v>
      </c>
      <c r="C17" s="128">
        <v>48026</v>
      </c>
      <c r="D17" s="128">
        <f>VLOOKUP($B17,'Min Rent 2017'!$A$5:$P$26,5,FALSE)</f>
        <v>3205.33</v>
      </c>
      <c r="E17" s="128">
        <f>VLOOKUP($B17,'Min Rent 2017'!$A$5:$P$26,6,FALSE)</f>
        <v>3205.33</v>
      </c>
      <c r="F17" s="128">
        <f>VLOOKUP($B17,'Min Rent 2017'!$A$5:$P$26,7,FALSE)</f>
        <v>3205.33</v>
      </c>
      <c r="G17" s="128">
        <f>VLOOKUP($B17,'Min Rent 2017'!$A$5:$P$26,8,FALSE)</f>
        <v>3205.33</v>
      </c>
      <c r="H17" s="128">
        <f>VLOOKUP($B17,'Min Rent 2017'!$A$5:$P$26,9,FALSE)</f>
        <v>3205.33</v>
      </c>
      <c r="I17" s="128">
        <f>VLOOKUP($B17,'Min Rent 2017'!$A$5:$P$26,10,FALSE)</f>
        <v>3205.33</v>
      </c>
      <c r="J17" s="128">
        <f>VLOOKUP($B17,'Min Rent 2017'!$A$5:$P$26,11,FALSE)</f>
        <v>3205.33</v>
      </c>
      <c r="K17" s="128">
        <f>VLOOKUP($B17,'Min Rent 2017'!$A$5:$P$26,12,FALSE)</f>
        <v>3205.33</v>
      </c>
      <c r="L17" s="128">
        <f>VLOOKUP($B17,'Min Rent 2017'!$A$5:$P$26,13,FALSE)</f>
        <v>3205.33</v>
      </c>
      <c r="M17" s="128">
        <f>VLOOKUP($B17,'Min Rent 2017'!$A$5:$P$26,14,FALSE)</f>
        <v>3205.33</v>
      </c>
      <c r="N17" s="175">
        <f>VLOOKUP($B17,'Min Rent 2017'!$A$5:$P$26,15,FALSE)</f>
        <v>3205.33</v>
      </c>
      <c r="O17" s="175">
        <f>VLOOKUP($B17,'Min Rent 2017'!$A$5:$P$26,16,FALSE)</f>
        <v>3205.33</v>
      </c>
      <c r="P17" s="128">
        <f t="shared" si="1"/>
        <v>38463.960000000006</v>
      </c>
      <c r="Q17" s="128">
        <f t="shared" si="2"/>
        <v>-9562.0399999999936</v>
      </c>
      <c r="R17" s="185">
        <f t="shared" si="3"/>
        <v>-0.19910132011826914</v>
      </c>
      <c r="S17" t="s">
        <v>556</v>
      </c>
    </row>
    <row r="18" spans="1:19" hidden="1" outlineLevel="1" x14ac:dyDescent="0.25">
      <c r="A18" s="7"/>
      <c r="B18" s="31" t="s">
        <v>518</v>
      </c>
      <c r="C18" s="128">
        <v>43014</v>
      </c>
      <c r="D18" s="128">
        <f>VLOOKUP($B18,'Min Rent 2017'!$A$5:$P$26,5,FALSE)</f>
        <v>3608.1</v>
      </c>
      <c r="E18" s="128">
        <f>VLOOKUP($B18,'Min Rent 2017'!$A$5:$P$26,6,FALSE)</f>
        <v>3608.1</v>
      </c>
      <c r="F18" s="128">
        <f>VLOOKUP($B18,'Min Rent 2017'!$A$5:$P$26,7,FALSE)</f>
        <v>3608.1</v>
      </c>
      <c r="G18" s="128">
        <f>VLOOKUP($B18,'Min Rent 2017'!$A$5:$P$26,8,FALSE)</f>
        <v>3608.1</v>
      </c>
      <c r="H18" s="203">
        <f>VLOOKUP($B18,'Min Rent 2017'!$A$5:$P$26,9,FALSE)</f>
        <v>3686.26</v>
      </c>
      <c r="I18" s="128">
        <f>VLOOKUP($B18,'Min Rent 2017'!$A$5:$P$26,10,FALSE)</f>
        <v>3686.26</v>
      </c>
      <c r="J18" s="128">
        <f>VLOOKUP($B18,'Min Rent 2017'!$A$5:$P$26,11,FALSE)</f>
        <v>3686.26</v>
      </c>
      <c r="K18" s="128">
        <f>VLOOKUP($B18,'Min Rent 2017'!$A$5:$P$26,12,FALSE)</f>
        <v>3686.26</v>
      </c>
      <c r="L18" s="128">
        <f>VLOOKUP($B18,'Min Rent 2017'!$A$5:$P$26,13,FALSE)</f>
        <v>3686.26</v>
      </c>
      <c r="M18" s="128">
        <f>VLOOKUP($B18,'Min Rent 2017'!$A$5:$P$26,14,FALSE)</f>
        <v>3686.26</v>
      </c>
      <c r="N18" s="128">
        <f>VLOOKUP($B18,'Min Rent 2017'!$A$5:$P$26,15,FALSE)</f>
        <v>3686.26</v>
      </c>
      <c r="O18" s="128">
        <f>VLOOKUP($B18,'Min Rent 2017'!$A$5:$P$26,16,FALSE)</f>
        <v>3686.26</v>
      </c>
      <c r="P18" s="128">
        <f t="shared" si="1"/>
        <v>43922.48000000001</v>
      </c>
      <c r="Q18" s="128">
        <f t="shared" si="2"/>
        <v>908.48000000001048</v>
      </c>
      <c r="R18" s="185">
        <f t="shared" si="3"/>
        <v>2.1120565397312746E-2</v>
      </c>
    </row>
    <row r="19" spans="1:19" hidden="1" outlineLevel="1" x14ac:dyDescent="0.25">
      <c r="A19" s="7"/>
      <c r="B19" s="31" t="s">
        <v>519</v>
      </c>
      <c r="C19" s="128">
        <v>73267</v>
      </c>
      <c r="D19" s="128">
        <f>VLOOKUP($B19,'Min Rent 2017'!$A$5:$P$26,5,FALSE)</f>
        <v>6288.74</v>
      </c>
      <c r="E19" s="128">
        <f>VLOOKUP($B19,'Min Rent 2017'!$A$5:$P$26,6,FALSE)</f>
        <v>6288.74</v>
      </c>
      <c r="F19" s="128">
        <f>VLOOKUP($B19,'Min Rent 2017'!$A$5:$P$26,7,FALSE)</f>
        <v>6288.74</v>
      </c>
      <c r="G19" s="128">
        <f>VLOOKUP($B19,'Min Rent 2017'!$A$5:$P$26,8,FALSE)</f>
        <v>6288.74</v>
      </c>
      <c r="H19" s="128">
        <f>VLOOKUP($B19,'Min Rent 2017'!$A$5:$P$26,9,FALSE)</f>
        <v>6288.74</v>
      </c>
      <c r="I19" s="128">
        <f>VLOOKUP($B19,'Min Rent 2017'!$A$5:$P$26,10,FALSE)</f>
        <v>6288.74</v>
      </c>
      <c r="J19" s="128">
        <f>VLOOKUP($B19,'Min Rent 2017'!$A$5:$P$26,11,FALSE)</f>
        <v>6288.74</v>
      </c>
      <c r="K19" s="128">
        <f>VLOOKUP($B19,'Min Rent 2017'!$A$5:$P$26,12,FALSE)</f>
        <v>6288.74</v>
      </c>
      <c r="L19" s="128">
        <f>VLOOKUP($B19,'Min Rent 2017'!$A$5:$P$26,13,FALSE)</f>
        <v>6288.74</v>
      </c>
      <c r="M19" s="128">
        <f>VLOOKUP($B19,'Min Rent 2017'!$A$5:$P$26,14,FALSE)</f>
        <v>6288.74</v>
      </c>
      <c r="N19" s="128">
        <f>VLOOKUP($B19,'Min Rent 2017'!$A$5:$P$26,15,FALSE)</f>
        <v>6288.74</v>
      </c>
      <c r="O19" s="128">
        <f>VLOOKUP($B19,'Min Rent 2017'!$A$5:$P$26,16,FALSE)</f>
        <v>6288.74</v>
      </c>
      <c r="P19" s="128">
        <f t="shared" si="1"/>
        <v>75464.87999999999</v>
      </c>
      <c r="Q19" s="128">
        <f t="shared" si="2"/>
        <v>2197.8799999999901</v>
      </c>
      <c r="R19" s="185">
        <f t="shared" si="3"/>
        <v>2.9998225667762977E-2</v>
      </c>
    </row>
    <row r="20" spans="1:19" hidden="1" outlineLevel="1" x14ac:dyDescent="0.25">
      <c r="A20" s="7"/>
      <c r="B20" s="31" t="s">
        <v>520</v>
      </c>
      <c r="C20" s="128">
        <v>12157</v>
      </c>
      <c r="D20" s="128">
        <f>VLOOKUP($B20,'Min Rent 2017'!$A$5:$P$26,5,FALSE)</f>
        <v>1013.12</v>
      </c>
      <c r="E20" s="128">
        <f>VLOOKUP($B20,'Min Rent 2017'!$A$5:$P$26,6,FALSE)</f>
        <v>1013.12</v>
      </c>
      <c r="F20" s="128">
        <f>VLOOKUP($B20,'Min Rent 2017'!$A$5:$P$26,7,FALSE)</f>
        <v>1013.12</v>
      </c>
      <c r="G20" s="128">
        <f>VLOOKUP($B20,'Min Rent 2017'!$A$5:$P$26,8,FALSE)</f>
        <v>1013.12</v>
      </c>
      <c r="H20" s="128">
        <f>VLOOKUP($B20,'Min Rent 2017'!$A$5:$P$26,9,FALSE)</f>
        <v>1013.12</v>
      </c>
      <c r="I20" s="128">
        <f>VLOOKUP($B20,'Min Rent 2017'!$A$5:$P$26,10,FALSE)</f>
        <v>1013.12</v>
      </c>
      <c r="J20" s="128">
        <f>VLOOKUP($B20,'Min Rent 2017'!$A$5:$P$26,11,FALSE)</f>
        <v>1013.12</v>
      </c>
      <c r="K20" s="203">
        <f>VLOOKUP($B20,'Min Rent 2017'!$A$5:$P$26,12,FALSE)</f>
        <v>1043.51</v>
      </c>
      <c r="L20" s="128">
        <f>VLOOKUP($B20,'Min Rent 2017'!$A$5:$P$26,13,FALSE)</f>
        <v>1043.51</v>
      </c>
      <c r="M20" s="128">
        <f>VLOOKUP($B20,'Min Rent 2017'!$A$5:$P$26,14,FALSE)</f>
        <v>1043.51</v>
      </c>
      <c r="N20" s="128">
        <f>VLOOKUP($B20,'Min Rent 2017'!$A$5:$P$26,15,FALSE)</f>
        <v>1043.51</v>
      </c>
      <c r="O20" s="128">
        <f>VLOOKUP($B20,'Min Rent 2017'!$A$5:$P$26,16,FALSE)</f>
        <v>1043.51</v>
      </c>
      <c r="P20" s="128">
        <f t="shared" si="1"/>
        <v>12309.390000000001</v>
      </c>
      <c r="Q20" s="128">
        <f t="shared" si="2"/>
        <v>152.39000000000124</v>
      </c>
      <c r="R20" s="185">
        <f t="shared" si="3"/>
        <v>1.2535164925557394E-2</v>
      </c>
    </row>
    <row r="21" spans="1:19" hidden="1" outlineLevel="1" x14ac:dyDescent="0.25">
      <c r="A21" s="7"/>
      <c r="B21" s="31" t="s">
        <v>521</v>
      </c>
      <c r="C21" s="128">
        <v>40826</v>
      </c>
      <c r="D21" s="128">
        <f>VLOOKUP($B21,'Min Rent 2017'!$A$5:$P$26,5,FALSE)</f>
        <v>3000</v>
      </c>
      <c r="E21" s="128">
        <f>VLOOKUP($B21,'Min Rent 2017'!$A$5:$P$26,6,FALSE)</f>
        <v>3000</v>
      </c>
      <c r="F21" s="128">
        <f>VLOOKUP($B21,'Min Rent 2017'!$A$5:$P$26,7,FALSE)</f>
        <v>3000</v>
      </c>
      <c r="G21" s="128">
        <f>VLOOKUP($B21,'Min Rent 2017'!$A$5:$P$26,8,FALSE)</f>
        <v>3000</v>
      </c>
      <c r="H21" s="128">
        <f>VLOOKUP($B21,'Min Rent 2017'!$A$5:$P$26,9,FALSE)</f>
        <v>3000</v>
      </c>
      <c r="I21" s="128">
        <f>VLOOKUP($B21,'Min Rent 2017'!$A$5:$P$26,10,FALSE)</f>
        <v>3000</v>
      </c>
      <c r="J21" s="128">
        <f>VLOOKUP($B21,'Min Rent 2017'!$A$5:$P$26,11,FALSE)</f>
        <v>3000</v>
      </c>
      <c r="K21" s="128">
        <f>VLOOKUP($B21,'Min Rent 2017'!$A$5:$P$26,12,FALSE)</f>
        <v>3000</v>
      </c>
      <c r="L21" s="203">
        <f>VLOOKUP($B21,'Min Rent 2017'!$A$5:$P$26,13,FALSE)</f>
        <v>3547.32</v>
      </c>
      <c r="M21" s="128">
        <f>VLOOKUP($B21,'Min Rent 2017'!$A$5:$P$26,14,FALSE)</f>
        <v>3547.32</v>
      </c>
      <c r="N21" s="128">
        <f>VLOOKUP($B21,'Min Rent 2017'!$A$5:$P$26,15,FALSE)</f>
        <v>3547.32</v>
      </c>
      <c r="O21" s="128">
        <f>VLOOKUP($B21,'Min Rent 2017'!$A$5:$P$26,16,FALSE)</f>
        <v>3547.32</v>
      </c>
      <c r="P21" s="128">
        <f t="shared" si="1"/>
        <v>38189.279999999999</v>
      </c>
      <c r="Q21" s="128">
        <f t="shared" si="2"/>
        <v>-2636.7200000000012</v>
      </c>
      <c r="R21" s="185">
        <f t="shared" si="3"/>
        <v>-6.4584333512957462E-2</v>
      </c>
    </row>
    <row r="22" spans="1:19" hidden="1" outlineLevel="1" x14ac:dyDescent="0.25">
      <c r="A22" s="7"/>
      <c r="B22" s="31" t="s">
        <v>522</v>
      </c>
      <c r="C22" s="128">
        <v>45000</v>
      </c>
      <c r="D22" s="128">
        <f>VLOOKUP($B22,'Min Rent 2017'!$A$5:$P$26,5,FALSE)</f>
        <v>4500</v>
      </c>
      <c r="E22" s="128">
        <f>VLOOKUP($B22,'Min Rent 2017'!$A$5:$P$26,6,FALSE)</f>
        <v>4500</v>
      </c>
      <c r="F22" s="128">
        <f>VLOOKUP($B22,'Min Rent 2017'!$A$5:$P$26,7,FALSE)</f>
        <v>4500</v>
      </c>
      <c r="G22" s="128">
        <f>VLOOKUP($B22,'Min Rent 2017'!$A$5:$P$26,8,FALSE)</f>
        <v>4500</v>
      </c>
      <c r="H22" s="128">
        <f>VLOOKUP($B22,'Min Rent 2017'!$A$5:$P$26,9,FALSE)</f>
        <v>4500</v>
      </c>
      <c r="I22" s="128">
        <f>VLOOKUP($B22,'Min Rent 2017'!$A$5:$P$26,10,FALSE)</f>
        <v>4500</v>
      </c>
      <c r="J22" s="128">
        <f>VLOOKUP($B22,'Min Rent 2017'!$A$5:$P$26,11,FALSE)</f>
        <v>4500</v>
      </c>
      <c r="K22" s="128">
        <f>VLOOKUP($B22,'Min Rent 2017'!$A$5:$P$26,12,FALSE)</f>
        <v>4500</v>
      </c>
      <c r="L22" s="128">
        <f>VLOOKUP($B22,'Min Rent 2017'!$A$5:$P$26,13,FALSE)</f>
        <v>4500</v>
      </c>
      <c r="M22" s="128">
        <f>VLOOKUP($B22,'Min Rent 2017'!$A$5:$P$26,14,FALSE)</f>
        <v>4500</v>
      </c>
      <c r="N22" s="128">
        <f>VLOOKUP($B22,'Min Rent 2017'!$A$5:$P$26,15,FALSE)</f>
        <v>4500</v>
      </c>
      <c r="O22" s="128">
        <f>VLOOKUP($B22,'Min Rent 2017'!$A$5:$P$26,16,FALSE)</f>
        <v>4500</v>
      </c>
      <c r="P22" s="128">
        <f t="shared" si="1"/>
        <v>54000</v>
      </c>
      <c r="Q22" s="128">
        <f t="shared" si="2"/>
        <v>9000</v>
      </c>
      <c r="R22" s="185">
        <f t="shared" si="3"/>
        <v>0.2</v>
      </c>
    </row>
    <row r="23" spans="1:19" hidden="1" outlineLevel="1" x14ac:dyDescent="0.25">
      <c r="A23" s="7"/>
      <c r="B23" s="31" t="s">
        <v>523</v>
      </c>
      <c r="C23" s="128">
        <v>0</v>
      </c>
      <c r="D23" s="128">
        <f>VLOOKUP($B23,'Min Rent 2017'!$A$5:$P$26,5,FALSE)</f>
        <v>3450</v>
      </c>
      <c r="E23" s="128">
        <f>VLOOKUP($B23,'Min Rent 2017'!$A$5:$P$26,6,FALSE)</f>
        <v>3450</v>
      </c>
      <c r="F23" s="128">
        <f>VLOOKUP($B23,'Min Rent 2017'!$A$5:$P$26,7,FALSE)</f>
        <v>3450</v>
      </c>
      <c r="G23" s="128">
        <f>VLOOKUP($B23,'Min Rent 2017'!$A$5:$P$26,8,FALSE)</f>
        <v>3450</v>
      </c>
      <c r="H23" s="128">
        <f>VLOOKUP($B23,'Min Rent 2017'!$A$5:$P$26,9,FALSE)</f>
        <v>3450</v>
      </c>
      <c r="I23" s="128">
        <f>VLOOKUP($B23,'Min Rent 2017'!$A$5:$P$26,10,FALSE)</f>
        <v>3450</v>
      </c>
      <c r="J23" s="128">
        <f>VLOOKUP($B23,'Min Rent 2017'!$A$5:$P$26,11,FALSE)</f>
        <v>3450</v>
      </c>
      <c r="K23" s="175">
        <f>VLOOKUP($B23,'Min Rent 2017'!$A$5:$P$26,12,FALSE)</f>
        <v>3450</v>
      </c>
      <c r="L23" s="128">
        <f>VLOOKUP($B23,'Min Rent 2017'!$A$5:$P$26,13,FALSE)</f>
        <v>3450</v>
      </c>
      <c r="M23" s="128">
        <f>VLOOKUP($B23,'Min Rent 2017'!$A$5:$P$26,14,FALSE)</f>
        <v>3450</v>
      </c>
      <c r="N23" s="128">
        <f>VLOOKUP($B23,'Min Rent 2017'!$A$5:$P$26,15,FALSE)</f>
        <v>3450</v>
      </c>
      <c r="O23" s="128">
        <f>VLOOKUP($B23,'Min Rent 2017'!$A$5:$P$26,16,FALSE)</f>
        <v>3450</v>
      </c>
      <c r="P23" s="128">
        <f t="shared" si="1"/>
        <v>41400</v>
      </c>
      <c r="Q23" s="128">
        <f t="shared" si="2"/>
        <v>41400</v>
      </c>
      <c r="R23" s="185" t="str">
        <f t="shared" si="3"/>
        <v/>
      </c>
    </row>
    <row r="24" spans="1:19" hidden="1" outlineLevel="1" x14ac:dyDescent="0.25">
      <c r="A24" s="7"/>
      <c r="B24" s="31" t="s">
        <v>524</v>
      </c>
      <c r="C24" s="128">
        <v>51035</v>
      </c>
      <c r="D24" s="128">
        <f>VLOOKUP($B24,'Min Rent 2017'!$A$5:$P$26,5,FALSE)</f>
        <v>4364.82</v>
      </c>
      <c r="E24" s="128">
        <f>VLOOKUP($B24,'Min Rent 2017'!$A$5:$P$26,6,FALSE)</f>
        <v>4364.82</v>
      </c>
      <c r="F24" s="128">
        <f>VLOOKUP($B24,'Min Rent 2017'!$A$5:$P$26,7,FALSE)</f>
        <v>4364.82</v>
      </c>
      <c r="G24" s="128">
        <f>VLOOKUP($B24,'Min Rent 2017'!$A$5:$P$26,8,FALSE)</f>
        <v>4364.82</v>
      </c>
      <c r="H24" s="128">
        <f>VLOOKUP($B24,'Min Rent 2017'!$A$5:$P$26,9,FALSE)</f>
        <v>4364.82</v>
      </c>
      <c r="I24" s="128">
        <f>VLOOKUP($B24,'Min Rent 2017'!$A$5:$P$26,10,FALSE)</f>
        <v>4364.82</v>
      </c>
      <c r="J24" s="128">
        <f>VLOOKUP($B24,'Min Rent 2017'!$A$5:$P$26,11,FALSE)</f>
        <v>4364.82</v>
      </c>
      <c r="K24" s="128">
        <f>VLOOKUP($B24,'Min Rent 2017'!$A$5:$P$26,12,FALSE)</f>
        <v>4364.82</v>
      </c>
      <c r="L24" s="128">
        <f>VLOOKUP($B24,'Min Rent 2017'!$A$5:$P$26,13,FALSE)</f>
        <v>4364.82</v>
      </c>
      <c r="M24" s="128">
        <f>VLOOKUP($B24,'Min Rent 2017'!$A$5:$P$26,14,FALSE)</f>
        <v>4364.82</v>
      </c>
      <c r="N24" s="128">
        <f>VLOOKUP($B24,'Min Rent 2017'!$A$5:$P$26,15,FALSE)</f>
        <v>4364.82</v>
      </c>
      <c r="O24" s="128">
        <f>VLOOKUP($B24,'Min Rent 2017'!$A$5:$P$26,16,FALSE)</f>
        <v>4364.82</v>
      </c>
      <c r="P24" s="128">
        <f t="shared" si="1"/>
        <v>52377.84</v>
      </c>
      <c r="Q24" s="128">
        <f t="shared" si="2"/>
        <v>1342.8399999999965</v>
      </c>
      <c r="R24" s="185">
        <f t="shared" si="3"/>
        <v>2.6312138728323629E-2</v>
      </c>
    </row>
    <row r="25" spans="1:19" hidden="1" outlineLevel="1" x14ac:dyDescent="0.25">
      <c r="A25" s="7"/>
      <c r="B25" s="125" t="s">
        <v>525</v>
      </c>
      <c r="C25" s="128">
        <v>46247</v>
      </c>
      <c r="D25" s="128">
        <f>VLOOKUP($B25,'Min Rent 2017'!$A$5:$P$26,5,FALSE)</f>
        <v>3903.9300000000003</v>
      </c>
      <c r="E25" s="128">
        <f>VLOOKUP($B25,'Min Rent 2017'!$A$5:$P$26,6,FALSE)</f>
        <v>3903.9300000000003</v>
      </c>
      <c r="F25" s="128">
        <f>VLOOKUP($B25,'Min Rent 2017'!$A$5:$P$26,7,FALSE)</f>
        <v>3903.9300000000003</v>
      </c>
      <c r="G25" s="128">
        <f>VLOOKUP($B25,'Min Rent 2017'!$A$5:$P$26,8,FALSE)</f>
        <v>3903.9300000000003</v>
      </c>
      <c r="H25" s="203">
        <f>VLOOKUP($B25,'Min Rent 2017'!$A$5:$P$26,9,FALSE)</f>
        <v>4060.09</v>
      </c>
      <c r="I25" s="128">
        <f>VLOOKUP($B25,'Min Rent 2017'!$A$5:$P$26,10,FALSE)</f>
        <v>4060.09</v>
      </c>
      <c r="J25" s="128">
        <f>VLOOKUP($B25,'Min Rent 2017'!$A$5:$P$26,11,FALSE)</f>
        <v>4060.09</v>
      </c>
      <c r="K25" s="128">
        <f>VLOOKUP($B25,'Min Rent 2017'!$A$5:$P$26,12,FALSE)</f>
        <v>4060.09</v>
      </c>
      <c r="L25" s="128">
        <f>VLOOKUP($B25,'Min Rent 2017'!$A$5:$P$26,13,FALSE)</f>
        <v>4060.09</v>
      </c>
      <c r="M25" s="128">
        <f>VLOOKUP($B25,'Min Rent 2017'!$A$5:$P$26,14,FALSE)</f>
        <v>4060.09</v>
      </c>
      <c r="N25" s="128">
        <f>VLOOKUP($B25,'Min Rent 2017'!$A$5:$P$26,15,FALSE)</f>
        <v>4060.09</v>
      </c>
      <c r="O25" s="128">
        <f>VLOOKUP($B25,'Min Rent 2017'!$A$5:$P$26,16,FALSE)</f>
        <v>4060.09</v>
      </c>
      <c r="P25" s="128">
        <f t="shared" si="1"/>
        <v>48096.439999999988</v>
      </c>
      <c r="Q25" s="128">
        <f t="shared" si="2"/>
        <v>1849.4399999999878</v>
      </c>
      <c r="R25" s="185">
        <f t="shared" si="3"/>
        <v>3.9990485869353422E-2</v>
      </c>
    </row>
    <row r="26" spans="1:19" hidden="1" outlineLevel="1" x14ac:dyDescent="0.25">
      <c r="A26" s="180"/>
      <c r="B26" s="125" t="s">
        <v>526</v>
      </c>
      <c r="C26" s="128">
        <v>37072</v>
      </c>
      <c r="D26" s="128">
        <f>VLOOKUP($B26,'Min Rent 2017'!$A$5:$P$26,5,FALSE)</f>
        <v>3111.9700000000003</v>
      </c>
      <c r="E26" s="128">
        <f>VLOOKUP($B26,'Min Rent 2017'!$A$5:$P$26,6,FALSE)</f>
        <v>3111.9700000000003</v>
      </c>
      <c r="F26" s="128">
        <f>VLOOKUP($B26,'Min Rent 2017'!$A$5:$P$26,7,FALSE)</f>
        <v>3111.9700000000003</v>
      </c>
      <c r="G26" s="128">
        <f>VLOOKUP($B26,'Min Rent 2017'!$A$5:$P$26,8,FALSE)</f>
        <v>3111.9700000000003</v>
      </c>
      <c r="H26" s="203">
        <f>VLOOKUP($B26,'Min Rent 2017'!$A$5:$P$26,9,FALSE)</f>
        <v>3205.33</v>
      </c>
      <c r="I26" s="128">
        <f>VLOOKUP($B26,'Min Rent 2017'!$A$5:$P$26,10,FALSE)</f>
        <v>3205.33</v>
      </c>
      <c r="J26" s="128">
        <f>VLOOKUP($B26,'Min Rent 2017'!$A$5:$P$26,11,FALSE)</f>
        <v>3205.33</v>
      </c>
      <c r="K26" s="128">
        <f>VLOOKUP($B26,'Min Rent 2017'!$A$5:$P$26,12,FALSE)</f>
        <v>3205.33</v>
      </c>
      <c r="L26" s="128">
        <f>VLOOKUP($B26,'Min Rent 2017'!$A$5:$P$26,13,FALSE)</f>
        <v>3205.33</v>
      </c>
      <c r="M26" s="128">
        <f>VLOOKUP($B26,'Min Rent 2017'!$A$5:$P$26,14,FALSE)</f>
        <v>3205.33</v>
      </c>
      <c r="N26" s="128">
        <f>VLOOKUP($B26,'Min Rent 2017'!$A$5:$P$26,15,FALSE)</f>
        <v>3205.33</v>
      </c>
      <c r="O26" s="128">
        <f>VLOOKUP($B26,'Min Rent 2017'!$A$5:$P$26,16,FALSE)</f>
        <v>3205.33</v>
      </c>
      <c r="P26" s="128">
        <f t="shared" ref="P26:P32" si="4">SUM(D26:O26)</f>
        <v>38090.520000000011</v>
      </c>
      <c r="Q26" s="128">
        <f t="shared" si="2"/>
        <v>1018.5200000000114</v>
      </c>
      <c r="R26" s="185">
        <f t="shared" si="3"/>
        <v>2.7474104445403845E-2</v>
      </c>
    </row>
    <row r="27" spans="1:19" hidden="1" outlineLevel="1" x14ac:dyDescent="0.25">
      <c r="A27" s="180"/>
      <c r="B27" s="125" t="s">
        <v>527</v>
      </c>
      <c r="C27" s="128">
        <v>67340</v>
      </c>
      <c r="D27" s="128">
        <f>VLOOKUP($B27,'Min Rent 2017'!$A$5:$P$26,5,FALSE)</f>
        <v>5611.67</v>
      </c>
      <c r="E27" s="128">
        <f>VLOOKUP($B27,'Min Rent 2017'!$A$5:$P$26,6,FALSE)</f>
        <v>5611.67</v>
      </c>
      <c r="F27" s="128">
        <f>VLOOKUP($B27,'Min Rent 2017'!$A$5:$P$26,7,FALSE)</f>
        <v>5611.67</v>
      </c>
      <c r="G27" s="128">
        <f>VLOOKUP($B27,'Min Rent 2017'!$A$5:$P$26,8,FALSE)</f>
        <v>5611.67</v>
      </c>
      <c r="H27" s="128">
        <f>VLOOKUP($B27,'Min Rent 2017'!$A$5:$P$26,9,FALSE)</f>
        <v>5611.67</v>
      </c>
      <c r="I27" s="128">
        <f>VLOOKUP($B27,'Min Rent 2017'!$A$5:$P$26,10,FALSE)</f>
        <v>5611.67</v>
      </c>
      <c r="J27" s="128">
        <f>VLOOKUP($B27,'Min Rent 2017'!$A$5:$P$26,11,FALSE)</f>
        <v>5611.67</v>
      </c>
      <c r="K27" s="128">
        <f>VLOOKUP($B27,'Min Rent 2017'!$A$5:$P$26,12,FALSE)</f>
        <v>5611.67</v>
      </c>
      <c r="L27" s="128">
        <f>VLOOKUP($B27,'Min Rent 2017'!$A$5:$P$26,13,FALSE)</f>
        <v>5611.67</v>
      </c>
      <c r="M27" s="128">
        <f>VLOOKUP($B27,'Min Rent 2017'!$A$5:$P$26,14,FALSE)</f>
        <v>5611.67</v>
      </c>
      <c r="N27" s="128">
        <f>VLOOKUP($B27,'Min Rent 2017'!$A$5:$P$26,15,FALSE)</f>
        <v>5611.67</v>
      </c>
      <c r="O27" s="128">
        <f>VLOOKUP($B27,'Min Rent 2017'!$A$5:$P$26,16,FALSE)</f>
        <v>5611.67</v>
      </c>
      <c r="P27" s="128">
        <f t="shared" si="4"/>
        <v>67340.039999999994</v>
      </c>
      <c r="Q27" s="128">
        <f t="shared" si="2"/>
        <v>3.9999999993597157E-2</v>
      </c>
      <c r="R27" s="185">
        <f t="shared" si="3"/>
        <v>5.9400059390551166E-7</v>
      </c>
    </row>
    <row r="28" spans="1:19" hidden="1" outlineLevel="1" x14ac:dyDescent="0.25">
      <c r="A28" s="180"/>
      <c r="B28" s="125" t="s">
        <v>528</v>
      </c>
      <c r="C28" s="128">
        <v>50236</v>
      </c>
      <c r="D28" s="128">
        <f>VLOOKUP($B28,'Min Rent 2017'!$A$5:$P$26,5,FALSE)</f>
        <v>4206.76</v>
      </c>
      <c r="E28" s="128">
        <f>VLOOKUP($B28,'Min Rent 2017'!$A$5:$P$26,6,FALSE)</f>
        <v>4206.76</v>
      </c>
      <c r="F28" s="203">
        <f>VLOOKUP($B28,'Min Rent 2017'!$A$5:$P$26,7,FALSE)</f>
        <v>4332.96</v>
      </c>
      <c r="G28" s="128">
        <f>VLOOKUP($B28,'Min Rent 2017'!$A$5:$P$26,8,FALSE)</f>
        <v>4332.96</v>
      </c>
      <c r="H28" s="128">
        <f>VLOOKUP($B28,'Min Rent 2017'!$A$5:$P$26,9,FALSE)</f>
        <v>4332.96</v>
      </c>
      <c r="I28" s="128">
        <f>VLOOKUP($B28,'Min Rent 2017'!$A$5:$P$26,10,FALSE)</f>
        <v>4332.96</v>
      </c>
      <c r="J28" s="128">
        <f>VLOOKUP($B28,'Min Rent 2017'!$A$5:$P$26,11,FALSE)</f>
        <v>4332.96</v>
      </c>
      <c r="K28" s="128">
        <f>VLOOKUP($B28,'Min Rent 2017'!$A$5:$P$26,12,FALSE)</f>
        <v>4332.96</v>
      </c>
      <c r="L28" s="128">
        <f>VLOOKUP($B28,'Min Rent 2017'!$A$5:$P$26,13,FALSE)</f>
        <v>4332.96</v>
      </c>
      <c r="M28" s="128">
        <f>VLOOKUP($B28,'Min Rent 2017'!$A$5:$P$26,14,FALSE)</f>
        <v>4332.96</v>
      </c>
      <c r="N28" s="128">
        <f>VLOOKUP($B28,'Min Rent 2017'!$A$5:$P$26,15,FALSE)</f>
        <v>4332.96</v>
      </c>
      <c r="O28" s="128">
        <f>VLOOKUP($B28,'Min Rent 2017'!$A$5:$P$26,16,FALSE)</f>
        <v>4332.96</v>
      </c>
      <c r="P28" s="128">
        <f t="shared" si="4"/>
        <v>51743.119999999995</v>
      </c>
      <c r="Q28" s="128">
        <f t="shared" si="2"/>
        <v>1507.1199999999953</v>
      </c>
      <c r="R28" s="185">
        <f t="shared" si="3"/>
        <v>3.0000796241738899E-2</v>
      </c>
      <c r="S28" t="s">
        <v>556</v>
      </c>
    </row>
    <row r="29" spans="1:19" hidden="1" outlineLevel="1" x14ac:dyDescent="0.25">
      <c r="A29" s="180"/>
      <c r="B29" s="125" t="s">
        <v>529</v>
      </c>
      <c r="C29" s="128">
        <v>171021</v>
      </c>
      <c r="D29" s="128">
        <f>VLOOKUP($B29,'Min Rent 2017'!$A$5:$P$26,5,FALSE)</f>
        <v>14251.76</v>
      </c>
      <c r="E29" s="203">
        <f>VLOOKUP($B29,'Min Rent 2017'!$A$5:$P$26,6,FALSE)</f>
        <v>14607.3</v>
      </c>
      <c r="F29" s="128">
        <f>VLOOKUP($B29,'Min Rent 2017'!$A$5:$P$26,7,FALSE)</f>
        <v>14607.3</v>
      </c>
      <c r="G29" s="128">
        <f>VLOOKUP($B29,'Min Rent 2017'!$A$5:$P$26,8,FALSE)</f>
        <v>14607.3</v>
      </c>
      <c r="H29" s="128">
        <f>VLOOKUP($B29,'Min Rent 2017'!$A$5:$P$26,9,FALSE)</f>
        <v>14607.3</v>
      </c>
      <c r="I29" s="128">
        <f>VLOOKUP($B29,'Min Rent 2017'!$A$5:$P$26,10,FALSE)</f>
        <v>14607.3</v>
      </c>
      <c r="J29" s="128">
        <f>VLOOKUP($B29,'Min Rent 2017'!$A$5:$P$26,11,FALSE)</f>
        <v>14607.3</v>
      </c>
      <c r="K29" s="128">
        <f>VLOOKUP($B29,'Min Rent 2017'!$A$5:$P$26,12,FALSE)</f>
        <v>14607.3</v>
      </c>
      <c r="L29" s="128">
        <f>VLOOKUP($B29,'Min Rent 2017'!$A$5:$P$26,13,FALSE)</f>
        <v>14607.3</v>
      </c>
      <c r="M29" s="128">
        <f>VLOOKUP($B29,'Min Rent 2017'!$A$5:$P$26,14,FALSE)</f>
        <v>14607.3</v>
      </c>
      <c r="N29" s="128">
        <f>VLOOKUP($B29,'Min Rent 2017'!$A$5:$P$26,15,FALSE)</f>
        <v>14607.3</v>
      </c>
      <c r="O29" s="128">
        <f>VLOOKUP($B29,'Min Rent 2017'!$A$5:$P$26,16,FALSE)</f>
        <v>14607.3</v>
      </c>
      <c r="P29" s="128">
        <f t="shared" si="4"/>
        <v>174932.05999999997</v>
      </c>
      <c r="Q29" s="128">
        <f t="shared" si="2"/>
        <v>3911.0599999999686</v>
      </c>
      <c r="R29" s="185">
        <f t="shared" si="3"/>
        <v>2.2868887446570705E-2</v>
      </c>
    </row>
    <row r="30" spans="1:19" hidden="1" outlineLevel="1" x14ac:dyDescent="0.25">
      <c r="A30" s="180"/>
      <c r="B30" s="125" t="s">
        <v>530</v>
      </c>
      <c r="C30" s="128">
        <v>120957</v>
      </c>
      <c r="D30" s="128">
        <f>VLOOKUP($B30,'Min Rent 2017'!$A$5:$P$26,5,FALSE)</f>
        <v>10118.27</v>
      </c>
      <c r="E30" s="128">
        <f>VLOOKUP($B30,'Min Rent 2017'!$A$5:$P$26,6,FALSE)</f>
        <v>10118.27</v>
      </c>
      <c r="F30" s="128">
        <f>VLOOKUP($B30,'Min Rent 2017'!$A$5:$P$26,7,FALSE)</f>
        <v>10118.27</v>
      </c>
      <c r="G30" s="128">
        <f>VLOOKUP($B30,'Min Rent 2017'!$A$5:$P$26,8,FALSE)</f>
        <v>10118.27</v>
      </c>
      <c r="H30" s="128">
        <f>VLOOKUP($B30,'Min Rent 2017'!$A$5:$P$26,9,FALSE)</f>
        <v>10118.27</v>
      </c>
      <c r="I30" s="128">
        <f>VLOOKUP($B30,'Min Rent 2017'!$A$5:$P$26,10,FALSE)</f>
        <v>10118.27</v>
      </c>
      <c r="J30" s="128">
        <f>VLOOKUP($B30,'Min Rent 2017'!$A$5:$P$26,11,FALSE)</f>
        <v>10118.27</v>
      </c>
      <c r="K30" s="128">
        <f>VLOOKUP($B30,'Min Rent 2017'!$A$5:$P$26,12,FALSE)</f>
        <v>10118.27</v>
      </c>
      <c r="L30" s="128">
        <f>VLOOKUP($B30,'Min Rent 2017'!$A$5:$P$26,13,FALSE)</f>
        <v>10118.27</v>
      </c>
      <c r="M30" s="128">
        <f>VLOOKUP($B30,'Min Rent 2017'!$A$5:$P$26,14,FALSE)</f>
        <v>10118.27</v>
      </c>
      <c r="N30" s="128">
        <f>VLOOKUP($B30,'Min Rent 2017'!$A$5:$P$26,15,FALSE)</f>
        <v>10118.27</v>
      </c>
      <c r="O30" s="128">
        <f>VLOOKUP($B30,'Min Rent 2017'!$A$5:$P$26,16,FALSE)</f>
        <v>10118.27</v>
      </c>
      <c r="P30" s="128">
        <f t="shared" si="4"/>
        <v>121419.24000000003</v>
      </c>
      <c r="Q30" s="128">
        <f t="shared" si="2"/>
        <v>462.24000000003434</v>
      </c>
      <c r="R30" s="185">
        <f t="shared" si="3"/>
        <v>3.821523351273877E-3</v>
      </c>
    </row>
    <row r="31" spans="1:19" hidden="1" outlineLevel="1" x14ac:dyDescent="0.25">
      <c r="A31" s="180"/>
      <c r="B31" s="125" t="s">
        <v>532</v>
      </c>
      <c r="C31" s="128"/>
      <c r="D31" s="128">
        <f>VLOOKUP($B31,'Min Rent 2017'!$A$5:$P$26,5,FALSE)</f>
        <v>0</v>
      </c>
      <c r="E31" s="128">
        <f>VLOOKUP($B31,'Min Rent 2017'!$A$5:$P$26,6,FALSE)</f>
        <v>0</v>
      </c>
      <c r="F31" s="128">
        <f>VLOOKUP($B31,'Min Rent 2017'!$A$5:$P$26,7,FALSE)</f>
        <v>0</v>
      </c>
      <c r="G31" s="128">
        <f>VLOOKUP($B31,'Min Rent 2017'!$A$5:$P$26,8,FALSE)</f>
        <v>0</v>
      </c>
      <c r="H31" s="128">
        <f>VLOOKUP($B31,'Min Rent 2017'!$A$5:$P$26,9,FALSE)</f>
        <v>0</v>
      </c>
      <c r="I31" s="128">
        <f>VLOOKUP($B31,'Min Rent 2017'!$A$5:$P$26,10,FALSE)</f>
        <v>0</v>
      </c>
      <c r="J31" s="128">
        <f>VLOOKUP($B31,'Min Rent 2017'!$A$5:$P$26,11,FALSE)</f>
        <v>0</v>
      </c>
      <c r="K31" s="128">
        <f>VLOOKUP($B31,'Min Rent 2017'!$A$5:$P$26,12,FALSE)</f>
        <v>0</v>
      </c>
      <c r="L31" s="128">
        <f>VLOOKUP($B31,'Min Rent 2017'!$A$5:$P$26,13,FALSE)</f>
        <v>0</v>
      </c>
      <c r="M31" s="128">
        <f>VLOOKUP($B31,'Min Rent 2017'!$A$5:$P$26,14,FALSE)</f>
        <v>0</v>
      </c>
      <c r="N31" s="128">
        <f>VLOOKUP($B31,'Min Rent 2017'!$A$5:$P$26,15,FALSE)</f>
        <v>0</v>
      </c>
      <c r="O31" s="128">
        <f>VLOOKUP($B31,'Min Rent 2017'!$A$5:$P$26,16,FALSE)</f>
        <v>0</v>
      </c>
      <c r="P31" s="128">
        <f t="shared" si="4"/>
        <v>0</v>
      </c>
      <c r="Q31" s="128" t="str">
        <f t="shared" si="2"/>
        <v/>
      </c>
      <c r="R31" s="185" t="str">
        <f t="shared" si="3"/>
        <v/>
      </c>
    </row>
    <row r="32" spans="1:19" hidden="1" outlineLevel="1" x14ac:dyDescent="0.25">
      <c r="A32" s="180"/>
      <c r="B32" s="125" t="s">
        <v>533</v>
      </c>
      <c r="C32" s="128"/>
      <c r="D32" s="128">
        <f>VLOOKUP($B32,'Min Rent 2017'!$A$5:$P$26,5,FALSE)</f>
        <v>0</v>
      </c>
      <c r="E32" s="128">
        <f>VLOOKUP($B32,'Min Rent 2017'!$A$5:$P$26,6,FALSE)</f>
        <v>0</v>
      </c>
      <c r="F32" s="128">
        <f>VLOOKUP($B32,'Min Rent 2017'!$A$5:$P$26,7,FALSE)</f>
        <v>0</v>
      </c>
      <c r="G32" s="128">
        <f>VLOOKUP($B32,'Min Rent 2017'!$A$5:$P$26,8,FALSE)</f>
        <v>0</v>
      </c>
      <c r="H32" s="128">
        <f>VLOOKUP($B32,'Min Rent 2017'!$A$5:$P$26,9,FALSE)</f>
        <v>0</v>
      </c>
      <c r="I32" s="128">
        <f>VLOOKUP($B32,'Min Rent 2017'!$A$5:$P$26,10,FALSE)</f>
        <v>0</v>
      </c>
      <c r="J32" s="128">
        <f>VLOOKUP($B32,'Min Rent 2017'!$A$5:$P$26,11,FALSE)</f>
        <v>0</v>
      </c>
      <c r="K32" s="128">
        <f>VLOOKUP($B32,'Min Rent 2017'!$A$5:$P$26,12,FALSE)</f>
        <v>0</v>
      </c>
      <c r="L32" s="128">
        <f>VLOOKUP($B32,'Min Rent 2017'!$A$5:$P$26,13,FALSE)</f>
        <v>0</v>
      </c>
      <c r="M32" s="128">
        <f>VLOOKUP($B32,'Min Rent 2017'!$A$5:$P$26,14,FALSE)</f>
        <v>0</v>
      </c>
      <c r="N32" s="128">
        <f>VLOOKUP($B32,'Min Rent 2017'!$A$5:$P$26,15,FALSE)</f>
        <v>0</v>
      </c>
      <c r="O32" s="128">
        <f>VLOOKUP($B32,'Min Rent 2017'!$A$5:$P$26,16,FALSE)</f>
        <v>0</v>
      </c>
      <c r="P32" s="128">
        <f t="shared" si="4"/>
        <v>0</v>
      </c>
      <c r="Q32" s="128" t="str">
        <f t="shared" si="2"/>
        <v/>
      </c>
      <c r="R32" s="185" t="str">
        <f t="shared" si="3"/>
        <v/>
      </c>
    </row>
    <row r="33" spans="1:18" collapsed="1" x14ac:dyDescent="0.25">
      <c r="A33" s="1" t="s">
        <v>7</v>
      </c>
      <c r="B33" s="5" t="s">
        <v>8</v>
      </c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>
        <v>0</v>
      </c>
      <c r="Q33" s="128" t="str">
        <f t="shared" si="2"/>
        <v/>
      </c>
      <c r="R33" s="185" t="str">
        <f t="shared" si="3"/>
        <v/>
      </c>
    </row>
    <row r="34" spans="1:18" ht="15.75" thickBot="1" x14ac:dyDescent="0.3">
      <c r="A34" s="1"/>
      <c r="B34" s="5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 t="str">
        <f t="shared" si="2"/>
        <v/>
      </c>
      <c r="R34" s="185" t="str">
        <f t="shared" si="3"/>
        <v/>
      </c>
    </row>
    <row r="35" spans="1:18" s="121" customFormat="1" x14ac:dyDescent="0.25">
      <c r="A35" s="6" t="s">
        <v>9</v>
      </c>
      <c r="B35" s="3" t="s">
        <v>10</v>
      </c>
      <c r="C35" s="130">
        <f>SUM(C11:C32)</f>
        <v>1174139</v>
      </c>
      <c r="D35" s="130">
        <f>SUM(D11:D32)</f>
        <v>101849.55999999998</v>
      </c>
      <c r="E35" s="130">
        <f t="shared" ref="E35:Q35" si="5">SUM(E11:E32)</f>
        <v>102205.09999999999</v>
      </c>
      <c r="F35" s="130">
        <f t="shared" si="5"/>
        <v>102331.3</v>
      </c>
      <c r="G35" s="130">
        <f t="shared" si="5"/>
        <v>102331.3</v>
      </c>
      <c r="H35" s="130">
        <f t="shared" si="5"/>
        <v>102658.98000000001</v>
      </c>
      <c r="I35" s="130">
        <f t="shared" si="5"/>
        <v>102658.98000000001</v>
      </c>
      <c r="J35" s="130">
        <f t="shared" si="5"/>
        <v>102658.98000000001</v>
      </c>
      <c r="K35" s="130">
        <f t="shared" si="5"/>
        <v>102689.37000000001</v>
      </c>
      <c r="L35" s="130">
        <f t="shared" si="5"/>
        <v>103236.69000000002</v>
      </c>
      <c r="M35" s="130">
        <f t="shared" si="5"/>
        <v>103311.45000000001</v>
      </c>
      <c r="N35" s="130">
        <f t="shared" si="5"/>
        <v>103311.45000000001</v>
      </c>
      <c r="O35" s="130">
        <f t="shared" si="5"/>
        <v>103311.45000000001</v>
      </c>
      <c r="P35" s="130">
        <f t="shared" si="5"/>
        <v>1232554.6100000001</v>
      </c>
      <c r="Q35" s="130">
        <f t="shared" si="5"/>
        <v>58415.610000000037</v>
      </c>
      <c r="R35" s="185">
        <f t="shared" si="3"/>
        <v>4.9751869242057406E-2</v>
      </c>
    </row>
    <row r="36" spans="1:18" x14ac:dyDescent="0.25">
      <c r="A36" s="1"/>
      <c r="B36" s="5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 t="str">
        <f t="shared" si="2"/>
        <v/>
      </c>
      <c r="R36" s="185" t="str">
        <f t="shared" si="3"/>
        <v/>
      </c>
    </row>
    <row r="37" spans="1:18" x14ac:dyDescent="0.25">
      <c r="A37" s="1" t="s">
        <v>11</v>
      </c>
      <c r="B37" s="5" t="s">
        <v>12</v>
      </c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 t="str">
        <f t="shared" si="2"/>
        <v/>
      </c>
      <c r="R37" s="185" t="str">
        <f t="shared" si="3"/>
        <v/>
      </c>
    </row>
    <row r="38" spans="1:18" x14ac:dyDescent="0.25">
      <c r="A38" s="1" t="s">
        <v>13</v>
      </c>
      <c r="B38" s="5" t="s">
        <v>14</v>
      </c>
      <c r="C38" s="128"/>
      <c r="D38" s="128"/>
      <c r="E38" s="128"/>
      <c r="F38" s="128"/>
      <c r="G38" s="128"/>
      <c r="H38" s="128"/>
      <c r="I38" s="128"/>
      <c r="J38" s="128"/>
      <c r="K38" s="128"/>
      <c r="L38" s="128"/>
      <c r="M38" s="128"/>
      <c r="N38" s="128"/>
      <c r="O38" s="128"/>
      <c r="P38" s="128">
        <v>0</v>
      </c>
      <c r="Q38" s="128" t="str">
        <f t="shared" si="2"/>
        <v/>
      </c>
      <c r="R38" s="185" t="str">
        <f t="shared" si="3"/>
        <v/>
      </c>
    </row>
    <row r="39" spans="1:18" x14ac:dyDescent="0.25">
      <c r="A39" s="1" t="s">
        <v>15</v>
      </c>
      <c r="B39" s="5" t="s">
        <v>16</v>
      </c>
      <c r="C39" s="134">
        <f t="shared" ref="C39:P39" si="6">ROUND(SUM(C40:C54),0)</f>
        <v>234583</v>
      </c>
      <c r="D39" s="134">
        <f t="shared" si="6"/>
        <v>19898</v>
      </c>
      <c r="E39" s="134">
        <f t="shared" si="6"/>
        <v>19898</v>
      </c>
      <c r="F39" s="134">
        <f t="shared" si="6"/>
        <v>19898</v>
      </c>
      <c r="G39" s="134">
        <f t="shared" si="6"/>
        <v>19898</v>
      </c>
      <c r="H39" s="134">
        <f t="shared" si="6"/>
        <v>19898</v>
      </c>
      <c r="I39" s="134">
        <f t="shared" si="6"/>
        <v>19898</v>
      </c>
      <c r="J39" s="134">
        <f t="shared" si="6"/>
        <v>19898</v>
      </c>
      <c r="K39" s="134">
        <f t="shared" si="6"/>
        <v>19898</v>
      </c>
      <c r="L39" s="134">
        <f t="shared" si="6"/>
        <v>19898</v>
      </c>
      <c r="M39" s="134">
        <f t="shared" si="6"/>
        <v>19898</v>
      </c>
      <c r="N39" s="134">
        <f t="shared" si="6"/>
        <v>19898</v>
      </c>
      <c r="O39" s="134">
        <f t="shared" si="6"/>
        <v>19898</v>
      </c>
      <c r="P39" s="134">
        <f t="shared" si="6"/>
        <v>238771</v>
      </c>
      <c r="Q39" s="134">
        <f t="shared" si="2"/>
        <v>4188</v>
      </c>
      <c r="R39" s="185">
        <f t="shared" si="3"/>
        <v>1.7852956096562837E-2</v>
      </c>
    </row>
    <row r="40" spans="1:18" hidden="1" outlineLevel="1" x14ac:dyDescent="0.25">
      <c r="A40" s="1"/>
      <c r="B40" s="31" t="s">
        <v>511</v>
      </c>
      <c r="C40" s="128">
        <v>22651</v>
      </c>
      <c r="D40" s="128">
        <f>VLOOKUP($B40,'CAM est 2017'!$A$6:$P$20,5,FALSE)</f>
        <v>1858.9</v>
      </c>
      <c r="E40" s="128">
        <f>VLOOKUP($B$40,'CAM est 2017'!$A$6:$P$20,5,FALSE)</f>
        <v>1858.9</v>
      </c>
      <c r="F40" s="128">
        <f>VLOOKUP($B$40,'CAM est 2017'!$A$6:$P$20,5,FALSE)</f>
        <v>1858.9</v>
      </c>
      <c r="G40" s="128">
        <f>VLOOKUP($B$40,'CAM est 2017'!$A$6:$P$20,5,FALSE)</f>
        <v>1858.9</v>
      </c>
      <c r="H40" s="128">
        <f>VLOOKUP($B$40,'CAM est 2017'!$A$6:$P$20,5,FALSE)</f>
        <v>1858.9</v>
      </c>
      <c r="I40" s="128">
        <f>VLOOKUP($B$40,'CAM est 2017'!$A$6:$P$20,5,FALSE)</f>
        <v>1858.9</v>
      </c>
      <c r="J40" s="128">
        <f>VLOOKUP($B$40,'CAM est 2017'!$A$6:$P$20,5,FALSE)</f>
        <v>1858.9</v>
      </c>
      <c r="K40" s="128">
        <f>VLOOKUP($B$40,'CAM est 2017'!$A$6:$P$20,5,FALSE)</f>
        <v>1858.9</v>
      </c>
      <c r="L40" s="128">
        <f>VLOOKUP($B$40,'CAM est 2017'!$A$6:$P$20,5,FALSE)</f>
        <v>1858.9</v>
      </c>
      <c r="M40" s="128">
        <f>VLOOKUP($B$40,'CAM est 2017'!$A$6:$P$20,5,FALSE)</f>
        <v>1858.9</v>
      </c>
      <c r="N40" s="128">
        <f>VLOOKUP($B$40,'CAM est 2017'!$A$6:$P$20,5,FALSE)</f>
        <v>1858.9</v>
      </c>
      <c r="O40" s="128">
        <f>VLOOKUP($B$40,'CAM est 2017'!$A$6:$P$20,5,FALSE)</f>
        <v>1858.9</v>
      </c>
      <c r="P40" s="128">
        <f t="shared" ref="P40:P61" si="7">SUM(D40:O40)</f>
        <v>22306.800000000003</v>
      </c>
      <c r="Q40" s="128">
        <f t="shared" si="2"/>
        <v>-344.19999999999709</v>
      </c>
      <c r="R40" s="185">
        <f t="shared" si="3"/>
        <v>-1.5195797095050863E-2</v>
      </c>
    </row>
    <row r="41" spans="1:18" hidden="1" outlineLevel="1" x14ac:dyDescent="0.25">
      <c r="A41" s="1"/>
      <c r="B41" s="31" t="s">
        <v>512</v>
      </c>
      <c r="C41" s="128">
        <v>11714</v>
      </c>
      <c r="D41" s="128">
        <f>VLOOKUP($B41,'CAM est 2017'!$A$6:$P$20,5,FALSE)</f>
        <v>966.76</v>
      </c>
      <c r="E41" s="128">
        <f>VLOOKUP($B41,'CAM est 2017'!$A$6:$P$20,5,FALSE)</f>
        <v>966.76</v>
      </c>
      <c r="F41" s="128">
        <f>VLOOKUP($B41,'CAM est 2017'!$A$6:$P$20,5,FALSE)</f>
        <v>966.76</v>
      </c>
      <c r="G41" s="128">
        <f>VLOOKUP($B41,'CAM est 2017'!$A$6:$P$20,5,FALSE)</f>
        <v>966.76</v>
      </c>
      <c r="H41" s="128">
        <f>VLOOKUP($B41,'CAM est 2017'!$A$6:$P$20,5,FALSE)</f>
        <v>966.76</v>
      </c>
      <c r="I41" s="128">
        <f>VLOOKUP($B41,'CAM est 2017'!$A$6:$P$20,5,FALSE)</f>
        <v>966.76</v>
      </c>
      <c r="J41" s="128">
        <f>VLOOKUP($B41,'CAM est 2017'!$A$6:$P$20,5,FALSE)</f>
        <v>966.76</v>
      </c>
      <c r="K41" s="128">
        <f>VLOOKUP($B41,'CAM est 2017'!$A$6:$P$20,5,FALSE)</f>
        <v>966.76</v>
      </c>
      <c r="L41" s="128">
        <f>VLOOKUP($B41,'CAM est 2017'!$A$6:$P$20,5,FALSE)</f>
        <v>966.76</v>
      </c>
      <c r="M41" s="128">
        <f>VLOOKUP($B41,'CAM est 2017'!$A$6:$P$20,5,FALSE)</f>
        <v>966.76</v>
      </c>
      <c r="N41" s="128">
        <f>VLOOKUP($B41,'CAM est 2017'!$A$6:$P$20,5,FALSE)</f>
        <v>966.76</v>
      </c>
      <c r="O41" s="128">
        <f>VLOOKUP($B41,'CAM est 2017'!$A$6:$P$20,5,FALSE)</f>
        <v>966.76</v>
      </c>
      <c r="P41" s="128">
        <f t="shared" si="7"/>
        <v>11601.12</v>
      </c>
      <c r="Q41" s="128">
        <f t="shared" si="2"/>
        <v>-112.8799999999992</v>
      </c>
      <c r="R41" s="185">
        <f t="shared" si="3"/>
        <v>-9.6363325934778216E-3</v>
      </c>
    </row>
    <row r="42" spans="1:18" hidden="1" outlineLevel="1" x14ac:dyDescent="0.25">
      <c r="A42" s="1"/>
      <c r="B42" s="31" t="s">
        <v>513</v>
      </c>
      <c r="C42" s="128">
        <v>16671</v>
      </c>
      <c r="D42" s="128">
        <f>VLOOKUP($B42,'CAM est 2017'!$A$6:$P$20,5,FALSE)</f>
        <v>1379.9</v>
      </c>
      <c r="E42" s="128">
        <f>VLOOKUP($B42,'CAM est 2017'!$A$6:$P$20,5,FALSE)</f>
        <v>1379.9</v>
      </c>
      <c r="F42" s="128">
        <f>VLOOKUP($B42,'CAM est 2017'!$A$6:$P$20,5,FALSE)</f>
        <v>1379.9</v>
      </c>
      <c r="G42" s="128">
        <f>VLOOKUP($B42,'CAM est 2017'!$A$6:$P$20,5,FALSE)</f>
        <v>1379.9</v>
      </c>
      <c r="H42" s="128">
        <f>VLOOKUP($B42,'CAM est 2017'!$A$6:$P$20,5,FALSE)</f>
        <v>1379.9</v>
      </c>
      <c r="I42" s="128">
        <f>VLOOKUP($B42,'CAM est 2017'!$A$6:$P$20,5,FALSE)</f>
        <v>1379.9</v>
      </c>
      <c r="J42" s="128">
        <f>VLOOKUP($B42,'CAM est 2017'!$A$6:$P$20,5,FALSE)</f>
        <v>1379.9</v>
      </c>
      <c r="K42" s="128">
        <f>VLOOKUP($B42,'CAM est 2017'!$A$6:$P$20,5,FALSE)</f>
        <v>1379.9</v>
      </c>
      <c r="L42" s="128">
        <f>VLOOKUP($B42,'CAM est 2017'!$A$6:$P$20,5,FALSE)</f>
        <v>1379.9</v>
      </c>
      <c r="M42" s="128">
        <f>VLOOKUP($B42,'CAM est 2017'!$A$6:$P$20,5,FALSE)</f>
        <v>1379.9</v>
      </c>
      <c r="N42" s="128">
        <f>VLOOKUP($B42,'CAM est 2017'!$A$6:$P$20,5,FALSE)</f>
        <v>1379.9</v>
      </c>
      <c r="O42" s="128">
        <f>VLOOKUP($B42,'CAM est 2017'!$A$6:$P$20,5,FALSE)</f>
        <v>1379.9</v>
      </c>
      <c r="P42" s="128">
        <f t="shared" si="7"/>
        <v>16558.8</v>
      </c>
      <c r="Q42" s="128">
        <f t="shared" si="2"/>
        <v>-112.20000000000073</v>
      </c>
      <c r="R42" s="185">
        <f t="shared" si="3"/>
        <v>-6.7302501349649525E-3</v>
      </c>
    </row>
    <row r="43" spans="1:18" hidden="1" outlineLevel="1" x14ac:dyDescent="0.25">
      <c r="A43" s="1"/>
      <c r="B43" s="31" t="s">
        <v>514</v>
      </c>
      <c r="C43" s="128">
        <v>30417</v>
      </c>
      <c r="D43" s="128">
        <f>VLOOKUP($B43,'CAM est 2017'!$A$6:$P$20,5,FALSE)</f>
        <v>2509.6799999999998</v>
      </c>
      <c r="E43" s="128">
        <f>VLOOKUP($B43,'CAM est 2017'!$A$6:$P$20,5,FALSE)</f>
        <v>2509.6799999999998</v>
      </c>
      <c r="F43" s="128">
        <f>VLOOKUP($B43,'CAM est 2017'!$A$6:$P$20,5,FALSE)</f>
        <v>2509.6799999999998</v>
      </c>
      <c r="G43" s="128">
        <f>VLOOKUP($B43,'CAM est 2017'!$A$6:$P$20,5,FALSE)</f>
        <v>2509.6799999999998</v>
      </c>
      <c r="H43" s="128">
        <f>VLOOKUP($B43,'CAM est 2017'!$A$6:$P$20,5,FALSE)</f>
        <v>2509.6799999999998</v>
      </c>
      <c r="I43" s="128">
        <f>VLOOKUP($B43,'CAM est 2017'!$A$6:$P$20,5,FALSE)</f>
        <v>2509.6799999999998</v>
      </c>
      <c r="J43" s="128">
        <f>VLOOKUP($B43,'CAM est 2017'!$A$6:$P$20,5,FALSE)</f>
        <v>2509.6799999999998</v>
      </c>
      <c r="K43" s="128">
        <f>VLOOKUP($B43,'CAM est 2017'!$A$6:$P$20,5,FALSE)</f>
        <v>2509.6799999999998</v>
      </c>
      <c r="L43" s="128">
        <f>VLOOKUP($B43,'CAM est 2017'!$A$6:$P$20,5,FALSE)</f>
        <v>2509.6799999999998</v>
      </c>
      <c r="M43" s="128">
        <f>VLOOKUP($B43,'CAM est 2017'!$A$6:$P$20,5,FALSE)</f>
        <v>2509.6799999999998</v>
      </c>
      <c r="N43" s="128">
        <f>VLOOKUP($B43,'CAM est 2017'!$A$6:$P$20,5,FALSE)</f>
        <v>2509.6799999999998</v>
      </c>
      <c r="O43" s="128">
        <f>VLOOKUP($B43,'CAM est 2017'!$A$6:$P$20,5,FALSE)</f>
        <v>2509.6799999999998</v>
      </c>
      <c r="P43" s="128">
        <f t="shared" si="7"/>
        <v>30116.16</v>
      </c>
      <c r="Q43" s="128">
        <f t="shared" si="2"/>
        <v>-300.84000000000015</v>
      </c>
      <c r="R43" s="185">
        <f t="shared" si="3"/>
        <v>-9.8905217477068784E-3</v>
      </c>
    </row>
    <row r="44" spans="1:18" hidden="1" outlineLevel="1" x14ac:dyDescent="0.25">
      <c r="A44" s="1"/>
      <c r="B44" s="31" t="s">
        <v>515</v>
      </c>
      <c r="C44" s="128">
        <v>0</v>
      </c>
      <c r="D44" s="128">
        <f>VLOOKUP($B44,'CAM est 2017'!$A$6:$P$20,5,FALSE)</f>
        <v>338.92</v>
      </c>
      <c r="E44" s="128">
        <f>VLOOKUP($B44,'CAM est 2017'!$A$6:$P$20,5,FALSE)</f>
        <v>338.92</v>
      </c>
      <c r="F44" s="128">
        <f>VLOOKUP($B44,'CAM est 2017'!$A$6:$P$20,5,FALSE)</f>
        <v>338.92</v>
      </c>
      <c r="G44" s="128">
        <f>VLOOKUP($B44,'CAM est 2017'!$A$6:$P$20,5,FALSE)</f>
        <v>338.92</v>
      </c>
      <c r="H44" s="128">
        <f>VLOOKUP($B44,'CAM est 2017'!$A$6:$P$20,5,FALSE)</f>
        <v>338.92</v>
      </c>
      <c r="I44" s="128">
        <f>VLOOKUP($B44,'CAM est 2017'!$A$6:$P$20,5,FALSE)</f>
        <v>338.92</v>
      </c>
      <c r="J44" s="128">
        <f>VLOOKUP($B44,'CAM est 2017'!$A$6:$P$20,5,FALSE)</f>
        <v>338.92</v>
      </c>
      <c r="K44" s="128">
        <f>VLOOKUP($B44,'CAM est 2017'!$A$6:$P$20,5,FALSE)</f>
        <v>338.92</v>
      </c>
      <c r="L44" s="128">
        <f>VLOOKUP($B44,'CAM est 2017'!$A$6:$P$20,5,FALSE)</f>
        <v>338.92</v>
      </c>
      <c r="M44" s="128">
        <f>VLOOKUP($B44,'CAM est 2017'!$A$6:$P$20,5,FALSE)</f>
        <v>338.92</v>
      </c>
      <c r="N44" s="128">
        <f>VLOOKUP($B44,'CAM est 2017'!$A$6:$P$20,5,FALSE)</f>
        <v>338.92</v>
      </c>
      <c r="O44" s="128">
        <f>VLOOKUP($B44,'CAM est 2017'!$A$6:$P$20,5,FALSE)</f>
        <v>338.92</v>
      </c>
      <c r="P44" s="128">
        <f t="shared" si="7"/>
        <v>4067.0400000000004</v>
      </c>
      <c r="Q44" s="128">
        <f t="shared" si="2"/>
        <v>4067.0400000000004</v>
      </c>
      <c r="R44" s="185" t="str">
        <f t="shared" si="3"/>
        <v/>
      </c>
    </row>
    <row r="45" spans="1:18" hidden="1" outlineLevel="1" x14ac:dyDescent="0.25">
      <c r="A45" s="1"/>
      <c r="B45" s="31" t="s">
        <v>516</v>
      </c>
      <c r="C45" s="128">
        <v>18639</v>
      </c>
      <c r="D45" s="128">
        <f>VLOOKUP($B45,'CAM est 2017'!$A$6:$P$20,5,FALSE)</f>
        <v>1528.85</v>
      </c>
      <c r="E45" s="128">
        <f>VLOOKUP($B45,'CAM est 2017'!$A$6:$P$20,5,FALSE)</f>
        <v>1528.85</v>
      </c>
      <c r="F45" s="128">
        <f>VLOOKUP($B45,'CAM est 2017'!$A$6:$P$20,5,FALSE)</f>
        <v>1528.85</v>
      </c>
      <c r="G45" s="128">
        <f>VLOOKUP($B45,'CAM est 2017'!$A$6:$P$20,5,FALSE)</f>
        <v>1528.85</v>
      </c>
      <c r="H45" s="128">
        <f>VLOOKUP($B45,'CAM est 2017'!$A$6:$P$20,5,FALSE)</f>
        <v>1528.85</v>
      </c>
      <c r="I45" s="128">
        <f>VLOOKUP($B45,'CAM est 2017'!$A$6:$P$20,5,FALSE)</f>
        <v>1528.85</v>
      </c>
      <c r="J45" s="128">
        <f>VLOOKUP($B45,'CAM est 2017'!$A$6:$P$20,5,FALSE)</f>
        <v>1528.85</v>
      </c>
      <c r="K45" s="128">
        <f>VLOOKUP($B45,'CAM est 2017'!$A$6:$P$20,5,FALSE)</f>
        <v>1528.85</v>
      </c>
      <c r="L45" s="128">
        <f>VLOOKUP($B45,'CAM est 2017'!$A$6:$P$20,5,FALSE)</f>
        <v>1528.85</v>
      </c>
      <c r="M45" s="128">
        <f>VLOOKUP($B45,'CAM est 2017'!$A$6:$P$20,5,FALSE)</f>
        <v>1528.85</v>
      </c>
      <c r="N45" s="128">
        <f>VLOOKUP($B45,'CAM est 2017'!$A$6:$P$20,5,FALSE)</f>
        <v>1528.85</v>
      </c>
      <c r="O45" s="128">
        <f>VLOOKUP($B45,'CAM est 2017'!$A$6:$P$20,5,FALSE)</f>
        <v>1528.85</v>
      </c>
      <c r="P45" s="128">
        <f t="shared" si="7"/>
        <v>18346.2</v>
      </c>
      <c r="Q45" s="128">
        <f t="shared" si="2"/>
        <v>-292.79999999999927</v>
      </c>
      <c r="R45" s="185">
        <f t="shared" si="3"/>
        <v>-1.5708997263801667E-2</v>
      </c>
    </row>
    <row r="46" spans="1:18" hidden="1" outlineLevel="1" x14ac:dyDescent="0.25">
      <c r="A46" s="7"/>
      <c r="B46" s="31" t="s">
        <v>517</v>
      </c>
      <c r="C46" s="128">
        <v>19415</v>
      </c>
      <c r="D46" s="128">
        <f>VLOOKUP($B46,'CAM est 2017'!$A$6:$P$20,5,FALSE)</f>
        <v>1571.65</v>
      </c>
      <c r="E46" s="128">
        <f>VLOOKUP($B46,'CAM est 2017'!$A$6:$P$20,5,FALSE)</f>
        <v>1571.65</v>
      </c>
      <c r="F46" s="128">
        <f>VLOOKUP($B46,'CAM est 2017'!$A$6:$P$20,5,FALSE)</f>
        <v>1571.65</v>
      </c>
      <c r="G46" s="128">
        <f>VLOOKUP($B46,'CAM est 2017'!$A$6:$P$20,5,FALSE)</f>
        <v>1571.65</v>
      </c>
      <c r="H46" s="128">
        <f>VLOOKUP($B46,'CAM est 2017'!$A$6:$P$20,5,FALSE)</f>
        <v>1571.65</v>
      </c>
      <c r="I46" s="128">
        <f>VLOOKUP($B46,'CAM est 2017'!$A$6:$P$20,5,FALSE)</f>
        <v>1571.65</v>
      </c>
      <c r="J46" s="128">
        <f>VLOOKUP($B46,'CAM est 2017'!$A$6:$P$20,5,FALSE)</f>
        <v>1571.65</v>
      </c>
      <c r="K46" s="128">
        <f>VLOOKUP($B46,'CAM est 2017'!$A$6:$P$20,5,FALSE)</f>
        <v>1571.65</v>
      </c>
      <c r="L46" s="128">
        <f>VLOOKUP($B46,'CAM est 2017'!$A$6:$P$20,5,FALSE)</f>
        <v>1571.65</v>
      </c>
      <c r="M46" s="128">
        <f>VLOOKUP($B46,'CAM est 2017'!$A$6:$P$20,5,FALSE)</f>
        <v>1571.65</v>
      </c>
      <c r="N46" s="128">
        <f>VLOOKUP($B46,'CAM est 2017'!$A$6:$P$20,5,FALSE)</f>
        <v>1571.65</v>
      </c>
      <c r="O46" s="128">
        <f>VLOOKUP($B46,'CAM est 2017'!$A$6:$P$20,5,FALSE)</f>
        <v>1571.65</v>
      </c>
      <c r="P46" s="128">
        <f t="shared" si="7"/>
        <v>18859.8</v>
      </c>
      <c r="Q46" s="128">
        <f t="shared" si="2"/>
        <v>-555.20000000000073</v>
      </c>
      <c r="R46" s="185">
        <f t="shared" si="3"/>
        <v>-2.8596446046871015E-2</v>
      </c>
    </row>
    <row r="47" spans="1:18" hidden="1" outlineLevel="1" x14ac:dyDescent="0.25">
      <c r="A47" s="7"/>
      <c r="B47" s="31" t="s">
        <v>518</v>
      </c>
      <c r="C47" s="128">
        <v>14820</v>
      </c>
      <c r="D47" s="128">
        <f>VLOOKUP($B47,'CAM est 2017'!$A$6:$P$20,5,FALSE)</f>
        <v>1224.69</v>
      </c>
      <c r="E47" s="128">
        <f>VLOOKUP($B47,'CAM est 2017'!$A$6:$P$20,5,FALSE)</f>
        <v>1224.69</v>
      </c>
      <c r="F47" s="128">
        <f>VLOOKUP($B47,'CAM est 2017'!$A$6:$P$20,5,FALSE)</f>
        <v>1224.69</v>
      </c>
      <c r="G47" s="128">
        <f>VLOOKUP($B47,'CAM est 2017'!$A$6:$P$20,5,FALSE)</f>
        <v>1224.69</v>
      </c>
      <c r="H47" s="128">
        <f>VLOOKUP($B47,'CAM est 2017'!$A$6:$P$20,5,FALSE)</f>
        <v>1224.69</v>
      </c>
      <c r="I47" s="128">
        <f>VLOOKUP($B47,'CAM est 2017'!$A$6:$P$20,5,FALSE)</f>
        <v>1224.69</v>
      </c>
      <c r="J47" s="128">
        <f>VLOOKUP($B47,'CAM est 2017'!$A$6:$P$20,5,FALSE)</f>
        <v>1224.69</v>
      </c>
      <c r="K47" s="128">
        <f>VLOOKUP($B47,'CAM est 2017'!$A$6:$P$20,5,FALSE)</f>
        <v>1224.69</v>
      </c>
      <c r="L47" s="128">
        <f>VLOOKUP($B47,'CAM est 2017'!$A$6:$P$20,5,FALSE)</f>
        <v>1224.69</v>
      </c>
      <c r="M47" s="128">
        <f>VLOOKUP($B47,'CAM est 2017'!$A$6:$P$20,5,FALSE)</f>
        <v>1224.69</v>
      </c>
      <c r="N47" s="128">
        <f>VLOOKUP($B47,'CAM est 2017'!$A$6:$P$20,5,FALSE)</f>
        <v>1224.69</v>
      </c>
      <c r="O47" s="128">
        <f>VLOOKUP($B47,'CAM est 2017'!$A$6:$P$20,5,FALSE)</f>
        <v>1224.69</v>
      </c>
      <c r="P47" s="128">
        <f t="shared" si="7"/>
        <v>14696.280000000004</v>
      </c>
      <c r="Q47" s="128">
        <f t="shared" si="2"/>
        <v>-123.71999999999571</v>
      </c>
      <c r="R47" s="185">
        <f t="shared" si="3"/>
        <v>-8.348178137651532E-3</v>
      </c>
    </row>
    <row r="48" spans="1:18" hidden="1" outlineLevel="1" x14ac:dyDescent="0.25">
      <c r="A48" s="7"/>
      <c r="B48" s="31" t="s">
        <v>519</v>
      </c>
      <c r="C48" s="128">
        <v>26386</v>
      </c>
      <c r="D48" s="128">
        <f>VLOOKUP($B48,'CAM est 2017'!$A$6:$P$20,5,FALSE)</f>
        <v>2459.88</v>
      </c>
      <c r="E48" s="128">
        <f>VLOOKUP($B48,'CAM est 2017'!$A$6:$P$20,5,FALSE)</f>
        <v>2459.88</v>
      </c>
      <c r="F48" s="128">
        <f>VLOOKUP($B48,'CAM est 2017'!$A$6:$P$20,5,FALSE)</f>
        <v>2459.88</v>
      </c>
      <c r="G48" s="128">
        <f>VLOOKUP($B48,'CAM est 2017'!$A$6:$P$20,5,FALSE)</f>
        <v>2459.88</v>
      </c>
      <c r="H48" s="128">
        <f>VLOOKUP($B48,'CAM est 2017'!$A$6:$P$20,5,FALSE)</f>
        <v>2459.88</v>
      </c>
      <c r="I48" s="128">
        <f>VLOOKUP($B48,'CAM est 2017'!$A$6:$P$20,5,FALSE)</f>
        <v>2459.88</v>
      </c>
      <c r="J48" s="128">
        <f>VLOOKUP($B48,'CAM est 2017'!$A$6:$P$20,5,FALSE)</f>
        <v>2459.88</v>
      </c>
      <c r="K48" s="128">
        <f>VLOOKUP($B48,'CAM est 2017'!$A$6:$P$20,5,FALSE)</f>
        <v>2459.88</v>
      </c>
      <c r="L48" s="128">
        <f>VLOOKUP($B48,'CAM est 2017'!$A$6:$P$20,5,FALSE)</f>
        <v>2459.88</v>
      </c>
      <c r="M48" s="128">
        <f>VLOOKUP($B48,'CAM est 2017'!$A$6:$P$20,5,FALSE)</f>
        <v>2459.88</v>
      </c>
      <c r="N48" s="128">
        <f>VLOOKUP($B48,'CAM est 2017'!$A$6:$P$20,5,FALSE)</f>
        <v>2459.88</v>
      </c>
      <c r="O48" s="128">
        <f>VLOOKUP($B48,'CAM est 2017'!$A$6:$P$20,5,FALSE)</f>
        <v>2459.88</v>
      </c>
      <c r="P48" s="128">
        <f t="shared" si="7"/>
        <v>29518.560000000009</v>
      </c>
      <c r="Q48" s="128">
        <f t="shared" si="2"/>
        <v>3132.5600000000086</v>
      </c>
      <c r="R48" s="185">
        <f t="shared" si="3"/>
        <v>0.118720533616312</v>
      </c>
    </row>
    <row r="49" spans="1:18" hidden="1" outlineLevel="1" x14ac:dyDescent="0.25">
      <c r="A49" s="7"/>
      <c r="B49" s="31" t="s">
        <v>520</v>
      </c>
      <c r="C49" s="128">
        <v>7766</v>
      </c>
      <c r="D49" s="128">
        <f>VLOOKUP($B49,'CAM est 2017'!$A$6:$P$20,5,FALSE)</f>
        <v>639.12</v>
      </c>
      <c r="E49" s="128">
        <f>VLOOKUP($B49,'CAM est 2017'!$A$6:$P$20,5,FALSE)</f>
        <v>639.12</v>
      </c>
      <c r="F49" s="128">
        <f>VLOOKUP($B49,'CAM est 2017'!$A$6:$P$20,5,FALSE)</f>
        <v>639.12</v>
      </c>
      <c r="G49" s="128">
        <f>VLOOKUP($B49,'CAM est 2017'!$A$6:$P$20,5,FALSE)</f>
        <v>639.12</v>
      </c>
      <c r="H49" s="128">
        <f>VLOOKUP($B49,'CAM est 2017'!$A$6:$P$20,5,FALSE)</f>
        <v>639.12</v>
      </c>
      <c r="I49" s="128">
        <f>VLOOKUP($B49,'CAM est 2017'!$A$6:$P$20,5,FALSE)</f>
        <v>639.12</v>
      </c>
      <c r="J49" s="128">
        <f>VLOOKUP($B49,'CAM est 2017'!$A$6:$P$20,5,FALSE)</f>
        <v>639.12</v>
      </c>
      <c r="K49" s="128">
        <f>VLOOKUP($B49,'CAM est 2017'!$A$6:$P$20,5,FALSE)</f>
        <v>639.12</v>
      </c>
      <c r="L49" s="128">
        <f>VLOOKUP($B49,'CAM est 2017'!$A$6:$P$20,5,FALSE)</f>
        <v>639.12</v>
      </c>
      <c r="M49" s="128">
        <f>VLOOKUP($B49,'CAM est 2017'!$A$6:$P$20,5,FALSE)</f>
        <v>639.12</v>
      </c>
      <c r="N49" s="128">
        <f>VLOOKUP($B49,'CAM est 2017'!$A$6:$P$20,5,FALSE)</f>
        <v>639.12</v>
      </c>
      <c r="O49" s="128">
        <f>VLOOKUP($B49,'CAM est 2017'!$A$6:$P$20,5,FALSE)</f>
        <v>639.12</v>
      </c>
      <c r="P49" s="128">
        <f t="shared" si="7"/>
        <v>7669.44</v>
      </c>
      <c r="Q49" s="128">
        <f t="shared" si="2"/>
        <v>-96.5600000000004</v>
      </c>
      <c r="R49" s="185">
        <f t="shared" si="3"/>
        <v>-1.2433685294875148E-2</v>
      </c>
    </row>
    <row r="50" spans="1:18" hidden="1" outlineLevel="1" x14ac:dyDescent="0.25">
      <c r="A50" s="7"/>
      <c r="B50" s="31" t="s">
        <v>521</v>
      </c>
      <c r="C50" s="128">
        <v>15061</v>
      </c>
      <c r="D50" s="128">
        <f>VLOOKUP($B50,'CAM est 2017'!$A$6:$P$20,5,FALSE)</f>
        <v>1226.21</v>
      </c>
      <c r="E50" s="128">
        <f>VLOOKUP($B50,'CAM est 2017'!$A$6:$P$20,5,FALSE)</f>
        <v>1226.21</v>
      </c>
      <c r="F50" s="128">
        <f>VLOOKUP($B50,'CAM est 2017'!$A$6:$P$20,5,FALSE)</f>
        <v>1226.21</v>
      </c>
      <c r="G50" s="128">
        <f>VLOOKUP($B50,'CAM est 2017'!$A$6:$P$20,5,FALSE)</f>
        <v>1226.21</v>
      </c>
      <c r="H50" s="128">
        <f>VLOOKUP($B50,'CAM est 2017'!$A$6:$P$20,5,FALSE)</f>
        <v>1226.21</v>
      </c>
      <c r="I50" s="128">
        <f>VLOOKUP($B50,'CAM est 2017'!$A$6:$P$20,5,FALSE)</f>
        <v>1226.21</v>
      </c>
      <c r="J50" s="128">
        <f>VLOOKUP($B50,'CAM est 2017'!$A$6:$P$20,5,FALSE)</f>
        <v>1226.21</v>
      </c>
      <c r="K50" s="128">
        <f>VLOOKUP($B50,'CAM est 2017'!$A$6:$P$20,5,FALSE)</f>
        <v>1226.21</v>
      </c>
      <c r="L50" s="128">
        <f>VLOOKUP($B50,'CAM est 2017'!$A$6:$P$20,5,FALSE)</f>
        <v>1226.21</v>
      </c>
      <c r="M50" s="128">
        <f>VLOOKUP($B50,'CAM est 2017'!$A$6:$P$20,5,FALSE)</f>
        <v>1226.21</v>
      </c>
      <c r="N50" s="128">
        <f>VLOOKUP($B50,'CAM est 2017'!$A$6:$P$20,5,FALSE)</f>
        <v>1226.21</v>
      </c>
      <c r="O50" s="128">
        <f>VLOOKUP($B50,'CAM est 2017'!$A$6:$P$20,5,FALSE)</f>
        <v>1226.21</v>
      </c>
      <c r="P50" s="128">
        <f t="shared" si="7"/>
        <v>14714.519999999997</v>
      </c>
      <c r="Q50" s="128">
        <f t="shared" si="2"/>
        <v>-346.4800000000032</v>
      </c>
      <c r="R50" s="185">
        <f t="shared" si="3"/>
        <v>-2.3005112542328079E-2</v>
      </c>
    </row>
    <row r="51" spans="1:18" hidden="1" outlineLevel="1" x14ac:dyDescent="0.25">
      <c r="A51" s="7"/>
      <c r="B51" s="31" t="s">
        <v>522</v>
      </c>
      <c r="C51" s="128">
        <v>16484</v>
      </c>
      <c r="D51" s="128">
        <f>VLOOKUP($B51,'CAM est 2017'!$A$6:$P$20,5,FALSE)</f>
        <v>1373.54</v>
      </c>
      <c r="E51" s="128">
        <f>VLOOKUP($B51,'CAM est 2017'!$A$6:$P$20,5,FALSE)</f>
        <v>1373.54</v>
      </c>
      <c r="F51" s="128">
        <f>VLOOKUP($B51,'CAM est 2017'!$A$6:$P$20,5,FALSE)</f>
        <v>1373.54</v>
      </c>
      <c r="G51" s="128">
        <f>VLOOKUP($B51,'CAM est 2017'!$A$6:$P$20,5,FALSE)</f>
        <v>1373.54</v>
      </c>
      <c r="H51" s="128">
        <f>VLOOKUP($B51,'CAM est 2017'!$A$6:$P$20,5,FALSE)</f>
        <v>1373.54</v>
      </c>
      <c r="I51" s="128">
        <f>VLOOKUP($B51,'CAM est 2017'!$A$6:$P$20,5,FALSE)</f>
        <v>1373.54</v>
      </c>
      <c r="J51" s="128">
        <f>VLOOKUP($B51,'CAM est 2017'!$A$6:$P$20,5,FALSE)</f>
        <v>1373.54</v>
      </c>
      <c r="K51" s="128">
        <f>VLOOKUP($B51,'CAM est 2017'!$A$6:$P$20,5,FALSE)</f>
        <v>1373.54</v>
      </c>
      <c r="L51" s="128">
        <f>VLOOKUP($B51,'CAM est 2017'!$A$6:$P$20,5,FALSE)</f>
        <v>1373.54</v>
      </c>
      <c r="M51" s="128">
        <f>VLOOKUP($B51,'CAM est 2017'!$A$6:$P$20,5,FALSE)</f>
        <v>1373.54</v>
      </c>
      <c r="N51" s="128">
        <f>VLOOKUP($B51,'CAM est 2017'!$A$6:$P$20,5,FALSE)</f>
        <v>1373.54</v>
      </c>
      <c r="O51" s="128">
        <f>VLOOKUP($B51,'CAM est 2017'!$A$6:$P$20,5,FALSE)</f>
        <v>1373.54</v>
      </c>
      <c r="P51" s="128">
        <f t="shared" si="7"/>
        <v>16482.480000000003</v>
      </c>
      <c r="Q51" s="128">
        <f t="shared" si="2"/>
        <v>-1.5199999999967986</v>
      </c>
      <c r="R51" s="185">
        <f t="shared" si="3"/>
        <v>-9.22106284880368E-5</v>
      </c>
    </row>
    <row r="52" spans="1:18" hidden="1" outlineLevel="1" x14ac:dyDescent="0.25">
      <c r="A52" s="7"/>
      <c r="B52" s="31" t="s">
        <v>523</v>
      </c>
      <c r="C52" s="128">
        <v>0</v>
      </c>
      <c r="D52" s="128">
        <f>VLOOKUP($B52,'CAM est 2017'!$A$6:$P$20,5,FALSE)</f>
        <v>0</v>
      </c>
      <c r="E52" s="128">
        <f>VLOOKUP($B52,'CAM est 2017'!$A$6:$P$20,5,FALSE)</f>
        <v>0</v>
      </c>
      <c r="F52" s="128">
        <f>VLOOKUP($B52,'CAM est 2017'!$A$6:$P$20,5,FALSE)</f>
        <v>0</v>
      </c>
      <c r="G52" s="128">
        <f>VLOOKUP($B52,'CAM est 2017'!$A$6:$P$20,5,FALSE)</f>
        <v>0</v>
      </c>
      <c r="H52" s="128">
        <f>VLOOKUP($B52,'CAM est 2017'!$A$6:$P$20,5,FALSE)</f>
        <v>0</v>
      </c>
      <c r="I52" s="128">
        <f>VLOOKUP($B52,'CAM est 2017'!$A$6:$P$20,5,FALSE)</f>
        <v>0</v>
      </c>
      <c r="J52" s="128">
        <f>VLOOKUP($B52,'CAM est 2017'!$A$6:$P$20,5,FALSE)</f>
        <v>0</v>
      </c>
      <c r="K52" s="128">
        <f>VLOOKUP($B52,'CAM est 2017'!$A$6:$P$20,5,FALSE)</f>
        <v>0</v>
      </c>
      <c r="L52" s="128">
        <f>VLOOKUP($B52,'CAM est 2017'!$A$6:$P$20,5,FALSE)</f>
        <v>0</v>
      </c>
      <c r="M52" s="128">
        <f>VLOOKUP($B52,'CAM est 2017'!$A$6:$P$20,5,FALSE)</f>
        <v>0</v>
      </c>
      <c r="N52" s="128">
        <f>VLOOKUP($B52,'CAM est 2017'!$A$6:$P$20,5,FALSE)</f>
        <v>0</v>
      </c>
      <c r="O52" s="128">
        <f>VLOOKUP($B52,'CAM est 2017'!$A$6:$P$20,5,FALSE)</f>
        <v>0</v>
      </c>
      <c r="P52" s="128">
        <f t="shared" si="7"/>
        <v>0</v>
      </c>
      <c r="Q52" s="128">
        <f t="shared" si="2"/>
        <v>0</v>
      </c>
      <c r="R52" s="185" t="str">
        <f t="shared" si="3"/>
        <v/>
      </c>
    </row>
    <row r="53" spans="1:18" hidden="1" outlineLevel="1" x14ac:dyDescent="0.25">
      <c r="A53" s="7"/>
      <c r="B53" s="31" t="s">
        <v>524</v>
      </c>
      <c r="C53" s="128">
        <v>19415</v>
      </c>
      <c r="D53" s="128">
        <f>VLOOKUP($B53,'CAM est 2017'!$A$6:$P$20,5,FALSE)</f>
        <v>1570.33</v>
      </c>
      <c r="E53" s="128">
        <f>VLOOKUP($B53,'CAM est 2017'!$A$6:$P$20,5,FALSE)</f>
        <v>1570.33</v>
      </c>
      <c r="F53" s="128">
        <f>VLOOKUP($B53,'CAM est 2017'!$A$6:$P$20,5,FALSE)</f>
        <v>1570.33</v>
      </c>
      <c r="G53" s="128">
        <f>VLOOKUP($B53,'CAM est 2017'!$A$6:$P$20,5,FALSE)</f>
        <v>1570.33</v>
      </c>
      <c r="H53" s="128">
        <f>VLOOKUP($B53,'CAM est 2017'!$A$6:$P$20,5,FALSE)</f>
        <v>1570.33</v>
      </c>
      <c r="I53" s="128">
        <f>VLOOKUP($B53,'CAM est 2017'!$A$6:$P$20,5,FALSE)</f>
        <v>1570.33</v>
      </c>
      <c r="J53" s="128">
        <f>VLOOKUP($B53,'CAM est 2017'!$A$6:$P$20,5,FALSE)</f>
        <v>1570.33</v>
      </c>
      <c r="K53" s="128">
        <f>VLOOKUP($B53,'CAM est 2017'!$A$6:$P$20,5,FALSE)</f>
        <v>1570.33</v>
      </c>
      <c r="L53" s="128">
        <f>VLOOKUP($B53,'CAM est 2017'!$A$6:$P$20,5,FALSE)</f>
        <v>1570.33</v>
      </c>
      <c r="M53" s="128">
        <f>VLOOKUP($B53,'CAM est 2017'!$A$6:$P$20,5,FALSE)</f>
        <v>1570.33</v>
      </c>
      <c r="N53" s="128">
        <f>VLOOKUP($B53,'CAM est 2017'!$A$6:$P$20,5,FALSE)</f>
        <v>1570.33</v>
      </c>
      <c r="O53" s="128">
        <f>VLOOKUP($B53,'CAM est 2017'!$A$6:$P$20,5,FALSE)</f>
        <v>1570.33</v>
      </c>
      <c r="P53" s="128">
        <f t="shared" si="7"/>
        <v>18843.96</v>
      </c>
      <c r="Q53" s="128">
        <f t="shared" si="2"/>
        <v>-571.04000000000087</v>
      </c>
      <c r="R53" s="185">
        <f t="shared" si="3"/>
        <v>-2.941231006953391E-2</v>
      </c>
    </row>
    <row r="54" spans="1:18" hidden="1" outlineLevel="1" x14ac:dyDescent="0.25">
      <c r="A54" s="7"/>
      <c r="B54" s="125" t="s">
        <v>525</v>
      </c>
      <c r="C54" s="128">
        <v>15144</v>
      </c>
      <c r="D54" s="128">
        <f>VLOOKUP($B54,'CAM est 2017'!$A$6:$P$20,5,FALSE)</f>
        <v>1249.1300000000001</v>
      </c>
      <c r="E54" s="128">
        <f>VLOOKUP($B54,'CAM est 2017'!$A$6:$P$20,5,FALSE)</f>
        <v>1249.1300000000001</v>
      </c>
      <c r="F54" s="128">
        <f>VLOOKUP($B54,'CAM est 2017'!$A$6:$P$20,5,FALSE)</f>
        <v>1249.1300000000001</v>
      </c>
      <c r="G54" s="128">
        <f>VLOOKUP($B54,'CAM est 2017'!$A$6:$P$20,5,FALSE)</f>
        <v>1249.1300000000001</v>
      </c>
      <c r="H54" s="128">
        <f>VLOOKUP($B54,'CAM est 2017'!$A$6:$P$20,5,FALSE)</f>
        <v>1249.1300000000001</v>
      </c>
      <c r="I54" s="128">
        <f>VLOOKUP($B54,'CAM est 2017'!$A$6:$P$20,5,FALSE)</f>
        <v>1249.1300000000001</v>
      </c>
      <c r="J54" s="128">
        <f>VLOOKUP($B54,'CAM est 2017'!$A$6:$P$20,5,FALSE)</f>
        <v>1249.1300000000001</v>
      </c>
      <c r="K54" s="128">
        <f>VLOOKUP($B54,'CAM est 2017'!$A$6:$P$20,5,FALSE)</f>
        <v>1249.1300000000001</v>
      </c>
      <c r="L54" s="128">
        <f>VLOOKUP($B54,'CAM est 2017'!$A$6:$P$20,5,FALSE)</f>
        <v>1249.1300000000001</v>
      </c>
      <c r="M54" s="128">
        <f>VLOOKUP($B54,'CAM est 2017'!$A$6:$P$20,5,FALSE)</f>
        <v>1249.1300000000001</v>
      </c>
      <c r="N54" s="128">
        <f>VLOOKUP($B54,'CAM est 2017'!$A$6:$P$20,5,FALSE)</f>
        <v>1249.1300000000001</v>
      </c>
      <c r="O54" s="128">
        <f>VLOOKUP($B54,'CAM est 2017'!$A$6:$P$20,5,FALSE)</f>
        <v>1249.1300000000001</v>
      </c>
      <c r="P54" s="128">
        <f t="shared" si="7"/>
        <v>14989.560000000005</v>
      </c>
      <c r="Q54" s="128">
        <f t="shared" si="2"/>
        <v>-154.43999999999505</v>
      </c>
      <c r="R54" s="185">
        <f t="shared" si="3"/>
        <v>-1.0198098256735014E-2</v>
      </c>
    </row>
    <row r="55" spans="1:18" hidden="1" outlineLevel="1" x14ac:dyDescent="0.25">
      <c r="A55" s="180"/>
      <c r="B55" s="125" t="s">
        <v>526</v>
      </c>
      <c r="C55" s="128">
        <v>15015</v>
      </c>
      <c r="D55" s="128">
        <f>VLOOKUP($B55,'CAM est 2017'!$A$6:$P$27,5,FALSE)</f>
        <v>1122.08</v>
      </c>
      <c r="E55" s="128">
        <f>VLOOKUP($B55,'CAM est 2017'!$A$6:$P$27,5,FALSE)</f>
        <v>1122.08</v>
      </c>
      <c r="F55" s="128">
        <f>VLOOKUP($B55,'CAM est 2017'!$A$6:$P$27,5,FALSE)</f>
        <v>1122.08</v>
      </c>
      <c r="G55" s="128">
        <f>VLOOKUP($B55,'CAM est 2017'!$A$6:$P$27,5,FALSE)</f>
        <v>1122.08</v>
      </c>
      <c r="H55" s="128">
        <f>VLOOKUP($B55,'CAM est 2017'!$A$6:$P$27,5,FALSE)</f>
        <v>1122.08</v>
      </c>
      <c r="I55" s="128">
        <f>VLOOKUP($B55,'CAM est 2017'!$A$6:$P$27,5,FALSE)</f>
        <v>1122.08</v>
      </c>
      <c r="J55" s="128">
        <f>VLOOKUP($B55,'CAM est 2017'!$A$6:$P$27,5,FALSE)</f>
        <v>1122.08</v>
      </c>
      <c r="K55" s="128">
        <f>VLOOKUP($B55,'CAM est 2017'!$A$6:$P$27,5,FALSE)</f>
        <v>1122.08</v>
      </c>
      <c r="L55" s="128">
        <f>VLOOKUP($B55,'CAM est 2017'!$A$6:$P$27,5,FALSE)</f>
        <v>1122.08</v>
      </c>
      <c r="M55" s="128">
        <f>VLOOKUP($B55,'CAM est 2017'!$A$6:$P$27,5,FALSE)</f>
        <v>1122.08</v>
      </c>
      <c r="N55" s="128">
        <f>VLOOKUP($B55,'CAM est 2017'!$A$6:$P$27,5,FALSE)</f>
        <v>1122.08</v>
      </c>
      <c r="O55" s="128">
        <f>VLOOKUP($B55,'CAM est 2017'!$A$6:$P$27,5,FALSE)</f>
        <v>1122.08</v>
      </c>
      <c r="P55" s="128">
        <f t="shared" si="7"/>
        <v>13464.96</v>
      </c>
      <c r="Q55" s="128">
        <f t="shared" si="2"/>
        <v>-1550.0400000000009</v>
      </c>
      <c r="R55" s="185"/>
    </row>
    <row r="56" spans="1:18" hidden="1" outlineLevel="1" x14ac:dyDescent="0.25">
      <c r="A56" s="180"/>
      <c r="B56" s="125" t="s">
        <v>527</v>
      </c>
      <c r="C56" s="128">
        <v>13879</v>
      </c>
      <c r="D56" s="128">
        <f>VLOOKUP($B56,'CAM est 2017'!$A$6:$P$27,5,FALSE)</f>
        <v>1276.8</v>
      </c>
      <c r="E56" s="128">
        <f>VLOOKUP($B56,'CAM est 2017'!$A$6:$P$27,5,FALSE)</f>
        <v>1276.8</v>
      </c>
      <c r="F56" s="128">
        <f>VLOOKUP($B56,'CAM est 2017'!$A$6:$P$27,5,FALSE)</f>
        <v>1276.8</v>
      </c>
      <c r="G56" s="128">
        <f>VLOOKUP($B56,'CAM est 2017'!$A$6:$P$27,5,FALSE)</f>
        <v>1276.8</v>
      </c>
      <c r="H56" s="128">
        <f>VLOOKUP($B56,'CAM est 2017'!$A$6:$P$27,5,FALSE)</f>
        <v>1276.8</v>
      </c>
      <c r="I56" s="128">
        <f>VLOOKUP($B56,'CAM est 2017'!$A$6:$P$27,5,FALSE)</f>
        <v>1276.8</v>
      </c>
      <c r="J56" s="128">
        <f>VLOOKUP($B56,'CAM est 2017'!$A$6:$P$27,5,FALSE)</f>
        <v>1276.8</v>
      </c>
      <c r="K56" s="128">
        <f>VLOOKUP($B56,'CAM est 2017'!$A$6:$P$27,5,FALSE)</f>
        <v>1276.8</v>
      </c>
      <c r="L56" s="128">
        <f>VLOOKUP($B56,'CAM est 2017'!$A$6:$P$27,5,FALSE)</f>
        <v>1276.8</v>
      </c>
      <c r="M56" s="128">
        <f>VLOOKUP($B56,'CAM est 2017'!$A$6:$P$27,5,FALSE)</f>
        <v>1276.8</v>
      </c>
      <c r="N56" s="128">
        <f>VLOOKUP($B56,'CAM est 2017'!$A$6:$P$27,5,FALSE)</f>
        <v>1276.8</v>
      </c>
      <c r="O56" s="128">
        <f>VLOOKUP($B56,'CAM est 2017'!$A$6:$P$27,5,FALSE)</f>
        <v>1276.8</v>
      </c>
      <c r="P56" s="128">
        <f t="shared" si="7"/>
        <v>15321.599999999997</v>
      </c>
      <c r="Q56" s="128">
        <f t="shared" si="2"/>
        <v>1442.5999999999967</v>
      </c>
      <c r="R56" s="185"/>
    </row>
    <row r="57" spans="1:18" hidden="1" outlineLevel="1" x14ac:dyDescent="0.25">
      <c r="A57" s="180"/>
      <c r="B57" s="125" t="s">
        <v>528</v>
      </c>
      <c r="C57" s="128">
        <v>14044</v>
      </c>
      <c r="D57" s="128">
        <f>VLOOKUP($B57,'CAM est 2017'!$A$6:$P$27,5,FALSE)</f>
        <v>1160.57</v>
      </c>
      <c r="E57" s="128">
        <f>VLOOKUP($B57,'CAM est 2017'!$A$6:$P$27,5,FALSE)</f>
        <v>1160.57</v>
      </c>
      <c r="F57" s="128">
        <f>VLOOKUP($B57,'CAM est 2017'!$A$6:$P$27,5,FALSE)</f>
        <v>1160.57</v>
      </c>
      <c r="G57" s="128">
        <f>VLOOKUP($B57,'CAM est 2017'!$A$6:$P$27,5,FALSE)</f>
        <v>1160.57</v>
      </c>
      <c r="H57" s="128">
        <f>VLOOKUP($B57,'CAM est 2017'!$A$6:$P$27,5,FALSE)</f>
        <v>1160.57</v>
      </c>
      <c r="I57" s="128">
        <f>VLOOKUP($B57,'CAM est 2017'!$A$6:$P$27,5,FALSE)</f>
        <v>1160.57</v>
      </c>
      <c r="J57" s="128">
        <f>VLOOKUP($B57,'CAM est 2017'!$A$6:$P$27,5,FALSE)</f>
        <v>1160.57</v>
      </c>
      <c r="K57" s="128">
        <f>VLOOKUP($B57,'CAM est 2017'!$A$6:$P$27,5,FALSE)</f>
        <v>1160.57</v>
      </c>
      <c r="L57" s="128">
        <f>VLOOKUP($B57,'CAM est 2017'!$A$6:$P$27,5,FALSE)</f>
        <v>1160.57</v>
      </c>
      <c r="M57" s="128">
        <f>VLOOKUP($B57,'CAM est 2017'!$A$6:$P$27,5,FALSE)</f>
        <v>1160.57</v>
      </c>
      <c r="N57" s="128">
        <f>VLOOKUP($B57,'CAM est 2017'!$A$6:$P$27,5,FALSE)</f>
        <v>1160.57</v>
      </c>
      <c r="O57" s="128">
        <f>VLOOKUP($B57,'CAM est 2017'!$A$6:$P$27,5,FALSE)</f>
        <v>1160.57</v>
      </c>
      <c r="P57" s="128">
        <f t="shared" si="7"/>
        <v>13926.839999999998</v>
      </c>
      <c r="Q57" s="128">
        <f t="shared" si="2"/>
        <v>-117.16000000000167</v>
      </c>
      <c r="R57" s="185"/>
    </row>
    <row r="58" spans="1:18" hidden="1" outlineLevel="1" x14ac:dyDescent="0.25">
      <c r="A58" s="180"/>
      <c r="B58" s="125" t="s">
        <v>529</v>
      </c>
      <c r="C58" s="128">
        <v>63165</v>
      </c>
      <c r="D58" s="128">
        <f>VLOOKUP($B58,'CAM est 2017'!$A$6:$P$27,5,FALSE)</f>
        <v>4571.8</v>
      </c>
      <c r="E58" s="128">
        <f>VLOOKUP($B58,'CAM est 2017'!$A$6:$P$27,5,FALSE)</f>
        <v>4571.8</v>
      </c>
      <c r="F58" s="128">
        <f>VLOOKUP($B58,'CAM est 2017'!$A$6:$P$27,5,FALSE)</f>
        <v>4571.8</v>
      </c>
      <c r="G58" s="128">
        <f>VLOOKUP($B58,'CAM est 2017'!$A$6:$P$27,5,FALSE)</f>
        <v>4571.8</v>
      </c>
      <c r="H58" s="128">
        <f>VLOOKUP($B58,'CAM est 2017'!$A$6:$P$27,5,FALSE)</f>
        <v>4571.8</v>
      </c>
      <c r="I58" s="128">
        <f>VLOOKUP($B58,'CAM est 2017'!$A$6:$P$27,5,FALSE)</f>
        <v>4571.8</v>
      </c>
      <c r="J58" s="128">
        <f>VLOOKUP($B58,'CAM est 2017'!$A$6:$P$27,5,FALSE)</f>
        <v>4571.8</v>
      </c>
      <c r="K58" s="128">
        <f>VLOOKUP($B58,'CAM est 2017'!$A$6:$P$27,5,FALSE)</f>
        <v>4571.8</v>
      </c>
      <c r="L58" s="128">
        <f>VLOOKUP($B58,'CAM est 2017'!$A$6:$P$27,5,FALSE)</f>
        <v>4571.8</v>
      </c>
      <c r="M58" s="128">
        <f>VLOOKUP($B58,'CAM est 2017'!$A$6:$P$27,5,FALSE)</f>
        <v>4571.8</v>
      </c>
      <c r="N58" s="128">
        <f>VLOOKUP($B58,'CAM est 2017'!$A$6:$P$27,5,FALSE)</f>
        <v>4571.8</v>
      </c>
      <c r="O58" s="128">
        <f>VLOOKUP($B58,'CAM est 2017'!$A$6:$P$27,5,FALSE)</f>
        <v>4571.8</v>
      </c>
      <c r="P58" s="128">
        <f t="shared" si="7"/>
        <v>54861.600000000013</v>
      </c>
      <c r="Q58" s="128">
        <f t="shared" si="2"/>
        <v>-8303.3999999999869</v>
      </c>
      <c r="R58" s="185"/>
    </row>
    <row r="59" spans="1:18" hidden="1" outlineLevel="1" x14ac:dyDescent="0.25">
      <c r="A59" s="180"/>
      <c r="B59" s="125" t="s">
        <v>530</v>
      </c>
      <c r="C59" s="128">
        <v>32741</v>
      </c>
      <c r="D59" s="128">
        <f>VLOOKUP($B59,'CAM est 2017'!$A$6:$P$27,5,FALSE)</f>
        <v>2674.44</v>
      </c>
      <c r="E59" s="128">
        <f>VLOOKUP($B59,'CAM est 2017'!$A$6:$P$27,5,FALSE)</f>
        <v>2674.44</v>
      </c>
      <c r="F59" s="128">
        <f>VLOOKUP($B59,'CAM est 2017'!$A$6:$P$27,5,FALSE)</f>
        <v>2674.44</v>
      </c>
      <c r="G59" s="128">
        <f>VLOOKUP($B59,'CAM est 2017'!$A$6:$P$27,5,FALSE)</f>
        <v>2674.44</v>
      </c>
      <c r="H59" s="128">
        <f>VLOOKUP($B59,'CAM est 2017'!$A$6:$P$27,5,FALSE)</f>
        <v>2674.44</v>
      </c>
      <c r="I59" s="128">
        <f>VLOOKUP($B59,'CAM est 2017'!$A$6:$P$27,5,FALSE)</f>
        <v>2674.44</v>
      </c>
      <c r="J59" s="128">
        <f>VLOOKUP($B59,'CAM est 2017'!$A$6:$P$27,5,FALSE)</f>
        <v>2674.44</v>
      </c>
      <c r="K59" s="128">
        <f>VLOOKUP($B59,'CAM est 2017'!$A$6:$P$27,5,FALSE)</f>
        <v>2674.44</v>
      </c>
      <c r="L59" s="128">
        <f>VLOOKUP($B59,'CAM est 2017'!$A$6:$P$27,5,FALSE)</f>
        <v>2674.44</v>
      </c>
      <c r="M59" s="128">
        <f>VLOOKUP($B59,'CAM est 2017'!$A$6:$P$27,5,FALSE)</f>
        <v>2674.44</v>
      </c>
      <c r="N59" s="128">
        <f>VLOOKUP($B59,'CAM est 2017'!$A$6:$P$27,5,FALSE)</f>
        <v>2674.44</v>
      </c>
      <c r="O59" s="128">
        <f>VLOOKUP($B59,'CAM est 2017'!$A$6:$P$27,5,FALSE)</f>
        <v>2674.44</v>
      </c>
      <c r="P59" s="128">
        <f t="shared" si="7"/>
        <v>32093.279999999995</v>
      </c>
      <c r="Q59" s="128">
        <f t="shared" si="2"/>
        <v>-647.7200000000048</v>
      </c>
      <c r="R59" s="185"/>
    </row>
    <row r="60" spans="1:18" hidden="1" outlineLevel="1" x14ac:dyDescent="0.25">
      <c r="A60" s="180"/>
      <c r="B60" s="125" t="s">
        <v>532</v>
      </c>
      <c r="C60" s="128"/>
      <c r="D60" s="128">
        <f>VLOOKUP($B60,'CAM est 2017'!$A$6:$P$27,5,FALSE)</f>
        <v>0</v>
      </c>
      <c r="E60" s="128">
        <f>VLOOKUP($B60,'CAM est 2017'!$A$6:$P$27,5,FALSE)</f>
        <v>0</v>
      </c>
      <c r="F60" s="128">
        <f>VLOOKUP($B60,'CAM est 2017'!$A$6:$P$27,5,FALSE)</f>
        <v>0</v>
      </c>
      <c r="G60" s="128">
        <f>VLOOKUP($B60,'CAM est 2017'!$A$6:$P$27,5,FALSE)</f>
        <v>0</v>
      </c>
      <c r="H60" s="128">
        <f>VLOOKUP($B60,'CAM est 2017'!$A$6:$P$27,5,FALSE)</f>
        <v>0</v>
      </c>
      <c r="I60" s="128">
        <f>VLOOKUP($B60,'CAM est 2017'!$A$6:$P$27,5,FALSE)</f>
        <v>0</v>
      </c>
      <c r="J60" s="128">
        <f>VLOOKUP($B60,'CAM est 2017'!$A$6:$P$27,5,FALSE)</f>
        <v>0</v>
      </c>
      <c r="K60" s="128">
        <f>VLOOKUP($B60,'CAM est 2017'!$A$6:$P$27,5,FALSE)</f>
        <v>0</v>
      </c>
      <c r="L60" s="128">
        <f>VLOOKUP($B60,'CAM est 2017'!$A$6:$P$27,5,FALSE)</f>
        <v>0</v>
      </c>
      <c r="M60" s="128">
        <f>VLOOKUP($B60,'CAM est 2017'!$A$6:$P$27,5,FALSE)</f>
        <v>0</v>
      </c>
      <c r="N60" s="128">
        <f>VLOOKUP($B60,'CAM est 2017'!$A$6:$P$27,5,FALSE)</f>
        <v>0</v>
      </c>
      <c r="O60" s="128">
        <f>VLOOKUP($B60,'CAM est 2017'!$A$6:$P$27,5,FALSE)</f>
        <v>0</v>
      </c>
      <c r="P60" s="128">
        <f t="shared" si="7"/>
        <v>0</v>
      </c>
      <c r="Q60" s="128" t="str">
        <f t="shared" si="2"/>
        <v/>
      </c>
      <c r="R60" s="185"/>
    </row>
    <row r="61" spans="1:18" hidden="1" outlineLevel="1" x14ac:dyDescent="0.25">
      <c r="A61" s="180"/>
      <c r="B61" s="125" t="s">
        <v>533</v>
      </c>
      <c r="C61" s="128"/>
      <c r="D61" s="128">
        <f>VLOOKUP($B61,'CAM est 2017'!$A$6:$P$27,5,FALSE)</f>
        <v>0</v>
      </c>
      <c r="E61" s="128">
        <f>VLOOKUP($B61,'CAM est 2017'!$A$6:$P$27,5,FALSE)</f>
        <v>0</v>
      </c>
      <c r="F61" s="128">
        <f>VLOOKUP($B61,'CAM est 2017'!$A$6:$P$27,5,FALSE)</f>
        <v>0</v>
      </c>
      <c r="G61" s="128">
        <f>VLOOKUP($B61,'CAM est 2017'!$A$6:$P$27,5,FALSE)</f>
        <v>0</v>
      </c>
      <c r="H61" s="128">
        <f>VLOOKUP($B61,'CAM est 2017'!$A$6:$P$27,5,FALSE)</f>
        <v>0</v>
      </c>
      <c r="I61" s="128">
        <f>VLOOKUP($B61,'CAM est 2017'!$A$6:$P$27,5,FALSE)</f>
        <v>0</v>
      </c>
      <c r="J61" s="128">
        <f>VLOOKUP($B61,'CAM est 2017'!$A$6:$P$27,5,FALSE)</f>
        <v>0</v>
      </c>
      <c r="K61" s="128">
        <f>VLOOKUP($B61,'CAM est 2017'!$A$6:$P$27,5,FALSE)</f>
        <v>0</v>
      </c>
      <c r="L61" s="128">
        <f>VLOOKUP($B61,'CAM est 2017'!$A$6:$P$27,5,FALSE)</f>
        <v>0</v>
      </c>
      <c r="M61" s="128">
        <f>VLOOKUP($B61,'CAM est 2017'!$A$6:$P$27,5,FALSE)</f>
        <v>0</v>
      </c>
      <c r="N61" s="128">
        <f>VLOOKUP($B61,'CAM est 2017'!$A$6:$P$27,5,FALSE)</f>
        <v>0</v>
      </c>
      <c r="O61" s="128">
        <f>VLOOKUP($B61,'CAM est 2017'!$A$6:$P$27,5,FALSE)</f>
        <v>0</v>
      </c>
      <c r="P61" s="128">
        <f t="shared" si="7"/>
        <v>0</v>
      </c>
      <c r="Q61" s="128" t="str">
        <f t="shared" si="2"/>
        <v/>
      </c>
      <c r="R61" s="185"/>
    </row>
    <row r="62" spans="1:18" collapsed="1" x14ac:dyDescent="0.25">
      <c r="A62" s="1" t="s">
        <v>17</v>
      </c>
      <c r="B62" s="5" t="s">
        <v>18</v>
      </c>
      <c r="C62" s="128">
        <v>0</v>
      </c>
      <c r="D62" s="128">
        <v>0</v>
      </c>
      <c r="E62" s="128">
        <v>0</v>
      </c>
      <c r="F62" s="128">
        <v>0</v>
      </c>
      <c r="G62" s="128">
        <v>0</v>
      </c>
      <c r="H62" s="128">
        <v>0</v>
      </c>
      <c r="I62" s="128">
        <v>0</v>
      </c>
      <c r="J62" s="128">
        <v>0</v>
      </c>
      <c r="K62" s="128">
        <v>0</v>
      </c>
      <c r="L62" s="128">
        <v>0</v>
      </c>
      <c r="M62" s="128">
        <v>0</v>
      </c>
      <c r="N62" s="128">
        <v>0</v>
      </c>
      <c r="O62" s="128">
        <v>0</v>
      </c>
      <c r="P62" s="128">
        <v>0</v>
      </c>
      <c r="Q62" s="128">
        <f t="shared" si="2"/>
        <v>0</v>
      </c>
      <c r="R62" s="185" t="str">
        <f t="shared" si="3"/>
        <v/>
      </c>
    </row>
    <row r="63" spans="1:18" x14ac:dyDescent="0.25">
      <c r="A63" s="1" t="s">
        <v>19</v>
      </c>
      <c r="B63" s="5" t="s">
        <v>20</v>
      </c>
      <c r="C63" s="134">
        <f t="shared" ref="C63:O63" si="8">ROUNDDOWN(SUM(C64:C78),0)</f>
        <v>0</v>
      </c>
      <c r="D63" s="134">
        <f t="shared" si="8"/>
        <v>0</v>
      </c>
      <c r="E63" s="134">
        <f t="shared" si="8"/>
        <v>0</v>
      </c>
      <c r="F63" s="134">
        <f t="shared" si="8"/>
        <v>0</v>
      </c>
      <c r="G63" s="134">
        <f t="shared" si="8"/>
        <v>0</v>
      </c>
      <c r="H63" s="134">
        <f t="shared" si="8"/>
        <v>0</v>
      </c>
      <c r="I63" s="134">
        <f t="shared" si="8"/>
        <v>0</v>
      </c>
      <c r="J63" s="134">
        <f t="shared" si="8"/>
        <v>0</v>
      </c>
      <c r="K63" s="134">
        <f t="shared" si="8"/>
        <v>0</v>
      </c>
      <c r="L63" s="134">
        <f t="shared" si="8"/>
        <v>0</v>
      </c>
      <c r="M63" s="134">
        <f t="shared" si="8"/>
        <v>0</v>
      </c>
      <c r="N63" s="134">
        <f t="shared" si="8"/>
        <v>0</v>
      </c>
      <c r="O63" s="134">
        <f t="shared" si="8"/>
        <v>0</v>
      </c>
      <c r="P63" s="134">
        <f>ROUND(SUM(P64:P78),0)</f>
        <v>0</v>
      </c>
      <c r="Q63" s="134">
        <f t="shared" si="2"/>
        <v>0</v>
      </c>
      <c r="R63" s="185" t="str">
        <f t="shared" si="3"/>
        <v/>
      </c>
    </row>
    <row r="64" spans="1:18" hidden="1" outlineLevel="1" x14ac:dyDescent="0.25">
      <c r="A64" s="1"/>
      <c r="B64" s="9" t="s">
        <v>511</v>
      </c>
      <c r="C64" s="128"/>
      <c r="D64" s="128">
        <f>VLOOKUP($B64,'RETaxes 2017'!$A$6:$Q$20,5,FALSE)</f>
        <v>0</v>
      </c>
      <c r="E64" s="128">
        <f>VLOOKUP($B64,'RETaxes 2017'!$A$6:$Q$20,6,FALSE)</f>
        <v>0</v>
      </c>
      <c r="F64" s="128">
        <f>VLOOKUP($B64,'RETaxes 2017'!$A$6:$Q$20,7,FALSE)</f>
        <v>0</v>
      </c>
      <c r="G64" s="128">
        <f>VLOOKUP($B64,'RETaxes 2017'!$A$6:$Q$20,8,FALSE)</f>
        <v>0</v>
      </c>
      <c r="H64" s="128">
        <f>VLOOKUP($B64,'RETaxes 2017'!$A$6:$Q$20,9,FALSE)</f>
        <v>0</v>
      </c>
      <c r="I64" s="128">
        <f>VLOOKUP($B64,'RETaxes 2017'!$A$6:$Q$20,10,FALSE)</f>
        <v>0</v>
      </c>
      <c r="J64" s="128">
        <f>VLOOKUP($B64,'RETaxes 2017'!$A$6:$Q$20,11,FALSE)</f>
        <v>0</v>
      </c>
      <c r="K64" s="128">
        <f>VLOOKUP($B64,'RETaxes 2017'!$A$6:$Q$20,12,FALSE)</f>
        <v>0</v>
      </c>
      <c r="L64" s="128">
        <f>VLOOKUP($B64,'RETaxes 2017'!$A$6:$Q$20,13,FALSE)</f>
        <v>0</v>
      </c>
      <c r="M64" s="128">
        <f>VLOOKUP($B64,'RETaxes 2017'!$A$6:$Q$20,14,FALSE)</f>
        <v>0</v>
      </c>
      <c r="N64" s="128">
        <f>VLOOKUP($B64,'RETaxes 2017'!$A$6:$Q$20,15,FALSE)</f>
        <v>0</v>
      </c>
      <c r="O64" s="128">
        <f>VLOOKUP($B64,'RETaxes 2017'!$A$6:$Q$20,16,FALSE)</f>
        <v>0</v>
      </c>
      <c r="P64" s="128">
        <f t="shared" ref="P64:P78" si="9">SUM(D64:O64)</f>
        <v>0</v>
      </c>
      <c r="Q64" s="128" t="str">
        <f t="shared" si="2"/>
        <v/>
      </c>
      <c r="R64" s="185" t="str">
        <f t="shared" si="3"/>
        <v/>
      </c>
    </row>
    <row r="65" spans="1:18" hidden="1" outlineLevel="1" x14ac:dyDescent="0.25">
      <c r="A65" s="7"/>
      <c r="B65" s="9" t="s">
        <v>512</v>
      </c>
      <c r="C65" s="128"/>
      <c r="D65" s="128">
        <f>VLOOKUP($B65,'RETaxes 2017'!$A$6:$Q$20,5,FALSE)</f>
        <v>0</v>
      </c>
      <c r="E65" s="128">
        <f>VLOOKUP($B65,'RETaxes 2017'!$A$6:$Q$20,6,FALSE)</f>
        <v>0</v>
      </c>
      <c r="F65" s="128">
        <f>VLOOKUP($B65,'RETaxes 2017'!$A$6:$Q$20,7,FALSE)</f>
        <v>0</v>
      </c>
      <c r="G65" s="128">
        <f>VLOOKUP($B65,'RETaxes 2017'!$A$6:$Q$20,8,FALSE)</f>
        <v>0</v>
      </c>
      <c r="H65" s="128">
        <f>VLOOKUP($B65,'RETaxes 2017'!$A$6:$Q$20,9,FALSE)</f>
        <v>0</v>
      </c>
      <c r="I65" s="128">
        <f>VLOOKUP($B65,'RETaxes 2017'!$A$6:$Q$20,10,FALSE)</f>
        <v>0</v>
      </c>
      <c r="J65" s="128">
        <f>VLOOKUP($B65,'RETaxes 2017'!$A$6:$Q$20,11,FALSE)</f>
        <v>0</v>
      </c>
      <c r="K65" s="128">
        <f>VLOOKUP($B65,'RETaxes 2017'!$A$6:$Q$20,12,FALSE)</f>
        <v>0</v>
      </c>
      <c r="L65" s="128">
        <f>VLOOKUP($B65,'RETaxes 2017'!$A$6:$Q$20,13,FALSE)</f>
        <v>0</v>
      </c>
      <c r="M65" s="128">
        <f>VLOOKUP($B65,'RETaxes 2017'!$A$6:$Q$20,14,FALSE)</f>
        <v>0</v>
      </c>
      <c r="N65" s="128">
        <f>VLOOKUP($B65,'RETaxes 2017'!$A$6:$Q$20,15,FALSE)</f>
        <v>0</v>
      </c>
      <c r="O65" s="128">
        <f>VLOOKUP($B65,'RETaxes 2017'!$A$6:$Q$20,16,FALSE)</f>
        <v>0</v>
      </c>
      <c r="P65" s="128">
        <f t="shared" si="9"/>
        <v>0</v>
      </c>
      <c r="Q65" s="128" t="str">
        <f t="shared" si="2"/>
        <v/>
      </c>
      <c r="R65" s="185" t="str">
        <f t="shared" si="3"/>
        <v/>
      </c>
    </row>
    <row r="66" spans="1:18" hidden="1" outlineLevel="1" x14ac:dyDescent="0.25">
      <c r="A66" s="7"/>
      <c r="B66" s="9" t="s">
        <v>513</v>
      </c>
      <c r="C66" s="128"/>
      <c r="D66" s="128">
        <f>VLOOKUP($B66,'RETaxes 2017'!$A$6:$Q$20,5,FALSE)</f>
        <v>0</v>
      </c>
      <c r="E66" s="128">
        <f>VLOOKUP($B66,'RETaxes 2017'!$A$6:$Q$20,6,FALSE)</f>
        <v>0</v>
      </c>
      <c r="F66" s="128">
        <f>VLOOKUP($B66,'RETaxes 2017'!$A$6:$Q$20,7,FALSE)</f>
        <v>0</v>
      </c>
      <c r="G66" s="128">
        <f>VLOOKUP($B66,'RETaxes 2017'!$A$6:$Q$20,8,FALSE)</f>
        <v>0</v>
      </c>
      <c r="H66" s="128">
        <f>VLOOKUP($B66,'RETaxes 2017'!$A$6:$Q$20,9,FALSE)</f>
        <v>0</v>
      </c>
      <c r="I66" s="128">
        <f>VLOOKUP($B66,'RETaxes 2017'!$A$6:$Q$20,10,FALSE)</f>
        <v>0</v>
      </c>
      <c r="J66" s="128">
        <f>VLOOKUP($B66,'RETaxes 2017'!$A$6:$Q$20,11,FALSE)</f>
        <v>0</v>
      </c>
      <c r="K66" s="128">
        <f>VLOOKUP($B66,'RETaxes 2017'!$A$6:$Q$20,12,FALSE)</f>
        <v>0</v>
      </c>
      <c r="L66" s="128">
        <f>VLOOKUP($B66,'RETaxes 2017'!$A$6:$Q$20,13,FALSE)</f>
        <v>0</v>
      </c>
      <c r="M66" s="128">
        <f>VLOOKUP($B66,'RETaxes 2017'!$A$6:$Q$20,14,FALSE)</f>
        <v>0</v>
      </c>
      <c r="N66" s="128">
        <f>VLOOKUP($B66,'RETaxes 2017'!$A$6:$Q$20,15,FALSE)</f>
        <v>0</v>
      </c>
      <c r="O66" s="128">
        <f>VLOOKUP($B66,'RETaxes 2017'!$A$6:$Q$20,16,FALSE)</f>
        <v>0</v>
      </c>
      <c r="P66" s="128">
        <f t="shared" si="9"/>
        <v>0</v>
      </c>
      <c r="Q66" s="128" t="str">
        <f t="shared" si="2"/>
        <v/>
      </c>
      <c r="R66" s="185" t="str">
        <f t="shared" si="3"/>
        <v/>
      </c>
    </row>
    <row r="67" spans="1:18" hidden="1" outlineLevel="1" x14ac:dyDescent="0.25">
      <c r="A67" s="7"/>
      <c r="B67" s="9" t="s">
        <v>514</v>
      </c>
      <c r="C67" s="128"/>
      <c r="D67" s="128">
        <f>VLOOKUP($B67,'RETaxes 2017'!$A$6:$Q$20,5,FALSE)</f>
        <v>0</v>
      </c>
      <c r="E67" s="128">
        <f>VLOOKUP($B67,'RETaxes 2017'!$A$6:$Q$20,6,FALSE)</f>
        <v>0</v>
      </c>
      <c r="F67" s="128">
        <f>VLOOKUP($B67,'RETaxes 2017'!$A$6:$Q$20,7,FALSE)</f>
        <v>0</v>
      </c>
      <c r="G67" s="128">
        <f>VLOOKUP($B67,'RETaxes 2017'!$A$6:$Q$20,8,FALSE)</f>
        <v>0</v>
      </c>
      <c r="H67" s="128">
        <f>VLOOKUP($B67,'RETaxes 2017'!$A$6:$Q$20,9,FALSE)</f>
        <v>0</v>
      </c>
      <c r="I67" s="128">
        <f>VLOOKUP($B67,'RETaxes 2017'!$A$6:$Q$20,10,FALSE)</f>
        <v>0</v>
      </c>
      <c r="J67" s="128">
        <f>VLOOKUP($B67,'RETaxes 2017'!$A$6:$Q$20,11,FALSE)</f>
        <v>0</v>
      </c>
      <c r="K67" s="128">
        <f>VLOOKUP($B67,'RETaxes 2017'!$A$6:$Q$20,12,FALSE)</f>
        <v>0</v>
      </c>
      <c r="L67" s="128">
        <f>VLOOKUP($B67,'RETaxes 2017'!$A$6:$Q$20,13,FALSE)</f>
        <v>0</v>
      </c>
      <c r="M67" s="128">
        <f>VLOOKUP($B67,'RETaxes 2017'!$A$6:$Q$20,14,FALSE)</f>
        <v>0</v>
      </c>
      <c r="N67" s="128">
        <f>VLOOKUP($B67,'RETaxes 2017'!$A$6:$Q$20,15,FALSE)</f>
        <v>0</v>
      </c>
      <c r="O67" s="128">
        <f>VLOOKUP($B67,'RETaxes 2017'!$A$6:$Q$20,16,FALSE)</f>
        <v>0</v>
      </c>
      <c r="P67" s="128">
        <f t="shared" si="9"/>
        <v>0</v>
      </c>
      <c r="Q67" s="128" t="str">
        <f t="shared" si="2"/>
        <v/>
      </c>
      <c r="R67" s="185" t="str">
        <f t="shared" si="3"/>
        <v/>
      </c>
    </row>
    <row r="68" spans="1:18" hidden="1" outlineLevel="1" x14ac:dyDescent="0.25">
      <c r="A68" s="7"/>
      <c r="B68" s="9" t="s">
        <v>515</v>
      </c>
      <c r="C68" s="128"/>
      <c r="D68" s="128">
        <f>VLOOKUP($B68,'RETaxes 2017'!$A$6:$Q$20,5,FALSE)</f>
        <v>0</v>
      </c>
      <c r="E68" s="128">
        <f>VLOOKUP($B68,'RETaxes 2017'!$A$6:$Q$20,6,FALSE)</f>
        <v>0</v>
      </c>
      <c r="F68" s="128">
        <f>VLOOKUP($B68,'RETaxes 2017'!$A$6:$Q$20,7,FALSE)</f>
        <v>0</v>
      </c>
      <c r="G68" s="128">
        <f>VLOOKUP($B68,'RETaxes 2017'!$A$6:$Q$20,8,FALSE)</f>
        <v>0</v>
      </c>
      <c r="H68" s="128">
        <f>VLOOKUP($B68,'RETaxes 2017'!$A$6:$Q$20,9,FALSE)</f>
        <v>0</v>
      </c>
      <c r="I68" s="128">
        <f>VLOOKUP($B68,'RETaxes 2017'!$A$6:$Q$20,10,FALSE)</f>
        <v>0</v>
      </c>
      <c r="J68" s="128">
        <f>VLOOKUP($B68,'RETaxes 2017'!$A$6:$Q$20,11,FALSE)</f>
        <v>0</v>
      </c>
      <c r="K68" s="128">
        <f>VLOOKUP($B68,'RETaxes 2017'!$A$6:$Q$20,12,FALSE)</f>
        <v>0</v>
      </c>
      <c r="L68" s="128">
        <f>VLOOKUP($B68,'RETaxes 2017'!$A$6:$Q$20,13,FALSE)</f>
        <v>0</v>
      </c>
      <c r="M68" s="128">
        <f>VLOOKUP($B68,'RETaxes 2017'!$A$6:$Q$20,14,FALSE)</f>
        <v>0</v>
      </c>
      <c r="N68" s="128">
        <f>VLOOKUP($B68,'RETaxes 2017'!$A$6:$Q$20,15,FALSE)</f>
        <v>0</v>
      </c>
      <c r="O68" s="128">
        <f>VLOOKUP($B68,'RETaxes 2017'!$A$6:$Q$20,16,FALSE)</f>
        <v>0</v>
      </c>
      <c r="P68" s="128">
        <f t="shared" si="9"/>
        <v>0</v>
      </c>
      <c r="Q68" s="128" t="str">
        <f t="shared" si="2"/>
        <v/>
      </c>
      <c r="R68" s="185" t="str">
        <f t="shared" si="3"/>
        <v/>
      </c>
    </row>
    <row r="69" spans="1:18" hidden="1" outlineLevel="1" x14ac:dyDescent="0.25">
      <c r="A69" s="7"/>
      <c r="B69" s="9" t="s">
        <v>516</v>
      </c>
      <c r="C69" s="128"/>
      <c r="D69" s="128">
        <f>VLOOKUP($B69,'RETaxes 2017'!$A$6:$Q$20,5,FALSE)</f>
        <v>0</v>
      </c>
      <c r="E69" s="128">
        <f>VLOOKUP($B69,'RETaxes 2017'!$A$6:$Q$20,6,FALSE)</f>
        <v>0</v>
      </c>
      <c r="F69" s="128">
        <f>VLOOKUP($B69,'RETaxes 2017'!$A$6:$Q$20,7,FALSE)</f>
        <v>0</v>
      </c>
      <c r="G69" s="128">
        <f>VLOOKUP($B69,'RETaxes 2017'!$A$6:$Q$20,8,FALSE)</f>
        <v>0</v>
      </c>
      <c r="H69" s="128">
        <f>VLOOKUP($B69,'RETaxes 2017'!$A$6:$Q$20,9,FALSE)</f>
        <v>0</v>
      </c>
      <c r="I69" s="128">
        <f>VLOOKUP($B69,'RETaxes 2017'!$A$6:$Q$20,10,FALSE)</f>
        <v>0</v>
      </c>
      <c r="J69" s="128">
        <f>VLOOKUP($B69,'RETaxes 2017'!$A$6:$Q$20,11,FALSE)</f>
        <v>0</v>
      </c>
      <c r="K69" s="128">
        <f>VLOOKUP($B69,'RETaxes 2017'!$A$6:$Q$20,12,FALSE)</f>
        <v>0</v>
      </c>
      <c r="L69" s="128">
        <f>VLOOKUP($B69,'RETaxes 2017'!$A$6:$Q$20,13,FALSE)</f>
        <v>0</v>
      </c>
      <c r="M69" s="128">
        <f>VLOOKUP($B69,'RETaxes 2017'!$A$6:$Q$20,14,FALSE)</f>
        <v>0</v>
      </c>
      <c r="N69" s="128">
        <f>VLOOKUP($B69,'RETaxes 2017'!$A$6:$Q$20,15,FALSE)</f>
        <v>0</v>
      </c>
      <c r="O69" s="128">
        <f>VLOOKUP($B69,'RETaxes 2017'!$A$6:$Q$20,16,FALSE)</f>
        <v>0</v>
      </c>
      <c r="P69" s="128">
        <f t="shared" si="9"/>
        <v>0</v>
      </c>
      <c r="Q69" s="128" t="str">
        <f t="shared" si="2"/>
        <v/>
      </c>
      <c r="R69" s="185" t="str">
        <f t="shared" si="3"/>
        <v/>
      </c>
    </row>
    <row r="70" spans="1:18" hidden="1" outlineLevel="1" x14ac:dyDescent="0.25">
      <c r="A70" s="7"/>
      <c r="B70" s="9" t="s">
        <v>517</v>
      </c>
      <c r="C70" s="128"/>
      <c r="D70" s="128">
        <f>VLOOKUP($B70,'RETaxes 2017'!$A$6:$Q$20,5,FALSE)</f>
        <v>0</v>
      </c>
      <c r="E70" s="128">
        <f>VLOOKUP($B70,'RETaxes 2017'!$A$6:$Q$20,6,FALSE)</f>
        <v>0</v>
      </c>
      <c r="F70" s="128">
        <f>VLOOKUP($B70,'RETaxes 2017'!$A$6:$Q$20,7,FALSE)</f>
        <v>0</v>
      </c>
      <c r="G70" s="128">
        <f>VLOOKUP($B70,'RETaxes 2017'!$A$6:$Q$20,8,FALSE)</f>
        <v>0</v>
      </c>
      <c r="H70" s="128">
        <f>VLOOKUP($B70,'RETaxes 2017'!$A$6:$Q$20,9,FALSE)</f>
        <v>0</v>
      </c>
      <c r="I70" s="128">
        <f>VLOOKUP($B70,'RETaxes 2017'!$A$6:$Q$20,10,FALSE)</f>
        <v>0</v>
      </c>
      <c r="J70" s="128">
        <f>VLOOKUP($B70,'RETaxes 2017'!$A$6:$Q$20,11,FALSE)</f>
        <v>0</v>
      </c>
      <c r="K70" s="128">
        <f>VLOOKUP($B70,'RETaxes 2017'!$A$6:$Q$20,12,FALSE)</f>
        <v>0</v>
      </c>
      <c r="L70" s="128">
        <f>VLOOKUP($B70,'RETaxes 2017'!$A$6:$Q$20,13,FALSE)</f>
        <v>0</v>
      </c>
      <c r="M70" s="128">
        <f>VLOOKUP($B70,'RETaxes 2017'!$A$6:$Q$20,14,FALSE)</f>
        <v>0</v>
      </c>
      <c r="N70" s="128">
        <f>VLOOKUP($B70,'RETaxes 2017'!$A$6:$Q$20,15,FALSE)</f>
        <v>0</v>
      </c>
      <c r="O70" s="128">
        <f>VLOOKUP($B70,'RETaxes 2017'!$A$6:$Q$20,16,FALSE)</f>
        <v>0</v>
      </c>
      <c r="P70" s="128">
        <f t="shared" si="9"/>
        <v>0</v>
      </c>
      <c r="Q70" s="128" t="str">
        <f t="shared" si="2"/>
        <v/>
      </c>
      <c r="R70" s="185" t="str">
        <f t="shared" si="3"/>
        <v/>
      </c>
    </row>
    <row r="71" spans="1:18" hidden="1" outlineLevel="1" x14ac:dyDescent="0.25">
      <c r="A71" s="7"/>
      <c r="B71" s="9" t="s">
        <v>518</v>
      </c>
      <c r="C71" s="128"/>
      <c r="D71" s="128">
        <f>VLOOKUP($B71,'RETaxes 2017'!$A$6:$Q$20,5,FALSE)</f>
        <v>0</v>
      </c>
      <c r="E71" s="128">
        <f>VLOOKUP($B71,'RETaxes 2017'!$A$6:$Q$20,6,FALSE)</f>
        <v>0</v>
      </c>
      <c r="F71" s="128">
        <f>VLOOKUP($B71,'RETaxes 2017'!$A$6:$Q$20,7,FALSE)</f>
        <v>0</v>
      </c>
      <c r="G71" s="128">
        <f>VLOOKUP($B71,'RETaxes 2017'!$A$6:$Q$20,8,FALSE)</f>
        <v>0</v>
      </c>
      <c r="H71" s="128">
        <f>VLOOKUP($B71,'RETaxes 2017'!$A$6:$Q$20,9,FALSE)</f>
        <v>0</v>
      </c>
      <c r="I71" s="128">
        <f>VLOOKUP($B71,'RETaxes 2017'!$A$6:$Q$20,10,FALSE)</f>
        <v>0</v>
      </c>
      <c r="J71" s="128">
        <f>VLOOKUP($B71,'RETaxes 2017'!$A$6:$Q$20,11,FALSE)</f>
        <v>0</v>
      </c>
      <c r="K71" s="128">
        <f>VLOOKUP($B71,'RETaxes 2017'!$A$6:$Q$20,12,FALSE)</f>
        <v>0</v>
      </c>
      <c r="L71" s="128">
        <f>VLOOKUP($B71,'RETaxes 2017'!$A$6:$Q$20,13,FALSE)</f>
        <v>0</v>
      </c>
      <c r="M71" s="128">
        <f>VLOOKUP($B71,'RETaxes 2017'!$A$6:$Q$20,14,FALSE)</f>
        <v>0</v>
      </c>
      <c r="N71" s="128">
        <f>VLOOKUP($B71,'RETaxes 2017'!$A$6:$Q$20,15,FALSE)</f>
        <v>0</v>
      </c>
      <c r="O71" s="128">
        <f>VLOOKUP($B71,'RETaxes 2017'!$A$6:$Q$20,16,FALSE)</f>
        <v>0</v>
      </c>
      <c r="P71" s="128">
        <f t="shared" si="9"/>
        <v>0</v>
      </c>
      <c r="Q71" s="128" t="str">
        <f t="shared" si="2"/>
        <v/>
      </c>
      <c r="R71" s="185" t="str">
        <f t="shared" si="3"/>
        <v/>
      </c>
    </row>
    <row r="72" spans="1:18" hidden="1" outlineLevel="1" x14ac:dyDescent="0.25">
      <c r="A72" s="7"/>
      <c r="B72" s="9" t="s">
        <v>519</v>
      </c>
      <c r="C72" s="128"/>
      <c r="D72" s="128">
        <f>VLOOKUP($B72,'RETaxes 2017'!$A$6:$Q$20,5,FALSE)</f>
        <v>0</v>
      </c>
      <c r="E72" s="128">
        <f>VLOOKUP($B72,'RETaxes 2017'!$A$6:$Q$20,6,FALSE)</f>
        <v>0</v>
      </c>
      <c r="F72" s="128">
        <f>VLOOKUP($B72,'RETaxes 2017'!$A$6:$Q$20,7,FALSE)</f>
        <v>0</v>
      </c>
      <c r="G72" s="128">
        <f>VLOOKUP($B72,'RETaxes 2017'!$A$6:$Q$20,8,FALSE)</f>
        <v>0</v>
      </c>
      <c r="H72" s="128">
        <f>VLOOKUP($B72,'RETaxes 2017'!$A$6:$Q$20,9,FALSE)</f>
        <v>0</v>
      </c>
      <c r="I72" s="128">
        <f>VLOOKUP($B72,'RETaxes 2017'!$A$6:$Q$20,10,FALSE)</f>
        <v>0</v>
      </c>
      <c r="J72" s="128">
        <f>VLOOKUP($B72,'RETaxes 2017'!$A$6:$Q$20,11,FALSE)</f>
        <v>0</v>
      </c>
      <c r="K72" s="128">
        <f>VLOOKUP($B72,'RETaxes 2017'!$A$6:$Q$20,12,FALSE)</f>
        <v>0</v>
      </c>
      <c r="L72" s="128">
        <f>VLOOKUP($B72,'RETaxes 2017'!$A$6:$Q$20,13,FALSE)</f>
        <v>0</v>
      </c>
      <c r="M72" s="128">
        <f>VLOOKUP($B72,'RETaxes 2017'!$A$6:$Q$20,14,FALSE)</f>
        <v>0</v>
      </c>
      <c r="N72" s="128">
        <f>VLOOKUP($B72,'RETaxes 2017'!$A$6:$Q$20,15,FALSE)</f>
        <v>0</v>
      </c>
      <c r="O72" s="128">
        <f>VLOOKUP($B72,'RETaxes 2017'!$A$6:$Q$20,16,FALSE)</f>
        <v>0</v>
      </c>
      <c r="P72" s="128">
        <f t="shared" si="9"/>
        <v>0</v>
      </c>
      <c r="Q72" s="128" t="str">
        <f t="shared" si="2"/>
        <v/>
      </c>
      <c r="R72" s="185" t="str">
        <f t="shared" si="3"/>
        <v/>
      </c>
    </row>
    <row r="73" spans="1:18" hidden="1" outlineLevel="1" x14ac:dyDescent="0.25">
      <c r="A73" s="1"/>
      <c r="B73" s="9" t="s">
        <v>520</v>
      </c>
      <c r="C73" s="128"/>
      <c r="D73" s="128">
        <f>VLOOKUP($B73,'RETaxes 2017'!$A$6:$Q$20,5,FALSE)</f>
        <v>0</v>
      </c>
      <c r="E73" s="128">
        <f>VLOOKUP($B73,'RETaxes 2017'!$A$6:$Q$20,6,FALSE)</f>
        <v>0</v>
      </c>
      <c r="F73" s="128">
        <f>VLOOKUP($B73,'RETaxes 2017'!$A$6:$Q$20,7,FALSE)</f>
        <v>0</v>
      </c>
      <c r="G73" s="128">
        <f>VLOOKUP($B73,'RETaxes 2017'!$A$6:$Q$20,8,FALSE)</f>
        <v>0</v>
      </c>
      <c r="H73" s="128">
        <f>VLOOKUP($B73,'RETaxes 2017'!$A$6:$Q$20,9,FALSE)</f>
        <v>0</v>
      </c>
      <c r="I73" s="128">
        <f>VLOOKUP($B73,'RETaxes 2017'!$A$6:$Q$20,10,FALSE)</f>
        <v>0</v>
      </c>
      <c r="J73" s="128">
        <f>VLOOKUP($B73,'RETaxes 2017'!$A$6:$Q$20,11,FALSE)</f>
        <v>0</v>
      </c>
      <c r="K73" s="128">
        <f>VLOOKUP($B73,'RETaxes 2017'!$A$6:$Q$20,12,FALSE)</f>
        <v>0</v>
      </c>
      <c r="L73" s="128">
        <f>VLOOKUP($B73,'RETaxes 2017'!$A$6:$Q$20,13,FALSE)</f>
        <v>0</v>
      </c>
      <c r="M73" s="128">
        <f>VLOOKUP($B73,'RETaxes 2017'!$A$6:$Q$20,14,FALSE)</f>
        <v>0</v>
      </c>
      <c r="N73" s="128">
        <f>VLOOKUP($B73,'RETaxes 2017'!$A$6:$Q$20,15,FALSE)</f>
        <v>0</v>
      </c>
      <c r="O73" s="128">
        <f>VLOOKUP($B73,'RETaxes 2017'!$A$6:$Q$20,16,FALSE)</f>
        <v>0</v>
      </c>
      <c r="P73" s="128">
        <f t="shared" si="9"/>
        <v>0</v>
      </c>
      <c r="Q73" s="128" t="str">
        <f t="shared" si="2"/>
        <v/>
      </c>
      <c r="R73" s="185" t="str">
        <f t="shared" si="3"/>
        <v/>
      </c>
    </row>
    <row r="74" spans="1:18" hidden="1" outlineLevel="1" x14ac:dyDescent="0.25">
      <c r="A74" s="1"/>
      <c r="B74" s="9" t="s">
        <v>521</v>
      </c>
      <c r="C74" s="128"/>
      <c r="D74" s="128">
        <f>VLOOKUP($B74,'RETaxes 2017'!$A$6:$Q$20,5,FALSE)</f>
        <v>0</v>
      </c>
      <c r="E74" s="128">
        <f>VLOOKUP($B74,'RETaxes 2017'!$A$6:$Q$20,6,FALSE)</f>
        <v>0</v>
      </c>
      <c r="F74" s="128">
        <f>VLOOKUP($B74,'RETaxes 2017'!$A$6:$Q$20,7,FALSE)</f>
        <v>0</v>
      </c>
      <c r="G74" s="128">
        <f>VLOOKUP($B74,'RETaxes 2017'!$A$6:$Q$20,8,FALSE)</f>
        <v>0</v>
      </c>
      <c r="H74" s="128">
        <f>VLOOKUP($B74,'RETaxes 2017'!$A$6:$Q$20,9,FALSE)</f>
        <v>0</v>
      </c>
      <c r="I74" s="128">
        <f>VLOOKUP($B74,'RETaxes 2017'!$A$6:$Q$20,10,FALSE)</f>
        <v>0</v>
      </c>
      <c r="J74" s="128">
        <f>VLOOKUP($B74,'RETaxes 2017'!$A$6:$Q$20,11,FALSE)</f>
        <v>0</v>
      </c>
      <c r="K74" s="128">
        <f>VLOOKUP($B74,'RETaxes 2017'!$A$6:$Q$20,12,FALSE)</f>
        <v>0</v>
      </c>
      <c r="L74" s="128">
        <f>VLOOKUP($B74,'RETaxes 2017'!$A$6:$Q$20,13,FALSE)</f>
        <v>0</v>
      </c>
      <c r="M74" s="128">
        <f>VLOOKUP($B74,'RETaxes 2017'!$A$6:$Q$20,14,FALSE)</f>
        <v>0</v>
      </c>
      <c r="N74" s="128">
        <f>VLOOKUP($B74,'RETaxes 2017'!$A$6:$Q$20,15,FALSE)</f>
        <v>0</v>
      </c>
      <c r="O74" s="128">
        <f>VLOOKUP($B74,'RETaxes 2017'!$A$6:$Q$20,16,FALSE)</f>
        <v>0</v>
      </c>
      <c r="P74" s="128">
        <f t="shared" si="9"/>
        <v>0</v>
      </c>
      <c r="Q74" s="128" t="str">
        <f t="shared" si="2"/>
        <v/>
      </c>
      <c r="R74" s="185" t="str">
        <f t="shared" si="3"/>
        <v/>
      </c>
    </row>
    <row r="75" spans="1:18" hidden="1" outlineLevel="1" x14ac:dyDescent="0.25">
      <c r="A75" s="1"/>
      <c r="B75" s="9" t="s">
        <v>522</v>
      </c>
      <c r="C75" s="128"/>
      <c r="D75" s="128">
        <f>VLOOKUP($B75,'RETaxes 2017'!$A$6:$Q$20,5,FALSE)</f>
        <v>0</v>
      </c>
      <c r="E75" s="128">
        <f>VLOOKUP($B75,'RETaxes 2017'!$A$6:$Q$20,6,FALSE)</f>
        <v>0</v>
      </c>
      <c r="F75" s="128">
        <f>VLOOKUP($B75,'RETaxes 2017'!$A$6:$Q$20,7,FALSE)</f>
        <v>0</v>
      </c>
      <c r="G75" s="128">
        <f>VLOOKUP($B75,'RETaxes 2017'!$A$6:$Q$20,8,FALSE)</f>
        <v>0</v>
      </c>
      <c r="H75" s="128">
        <f>VLOOKUP($B75,'RETaxes 2017'!$A$6:$Q$20,9,FALSE)</f>
        <v>0</v>
      </c>
      <c r="I75" s="128">
        <f>VLOOKUP($B75,'RETaxes 2017'!$A$6:$Q$20,10,FALSE)</f>
        <v>0</v>
      </c>
      <c r="J75" s="128">
        <f>VLOOKUP($B75,'RETaxes 2017'!$A$6:$Q$20,11,FALSE)</f>
        <v>0</v>
      </c>
      <c r="K75" s="128">
        <f>VLOOKUP($B75,'RETaxes 2017'!$A$6:$Q$20,12,FALSE)</f>
        <v>0</v>
      </c>
      <c r="L75" s="128">
        <f>VLOOKUP($B75,'RETaxes 2017'!$A$6:$Q$20,13,FALSE)</f>
        <v>0</v>
      </c>
      <c r="M75" s="128">
        <f>VLOOKUP($B75,'RETaxes 2017'!$A$6:$Q$20,14,FALSE)</f>
        <v>0</v>
      </c>
      <c r="N75" s="128">
        <f>VLOOKUP($B75,'RETaxes 2017'!$A$6:$Q$20,15,FALSE)</f>
        <v>0</v>
      </c>
      <c r="O75" s="128">
        <f>VLOOKUP($B75,'RETaxes 2017'!$A$6:$Q$20,16,FALSE)</f>
        <v>0</v>
      </c>
      <c r="P75" s="128">
        <f t="shared" si="9"/>
        <v>0</v>
      </c>
      <c r="Q75" s="128" t="str">
        <f t="shared" si="2"/>
        <v/>
      </c>
      <c r="R75" s="185" t="str">
        <f t="shared" si="3"/>
        <v/>
      </c>
    </row>
    <row r="76" spans="1:18" hidden="1" outlineLevel="1" x14ac:dyDescent="0.25">
      <c r="A76" s="1"/>
      <c r="B76" s="9" t="s">
        <v>523</v>
      </c>
      <c r="C76" s="128"/>
      <c r="D76" s="128">
        <f>VLOOKUP($B76,'RETaxes 2017'!$A$6:$Q$20,5,FALSE)</f>
        <v>0</v>
      </c>
      <c r="E76" s="128">
        <f>VLOOKUP($B76,'RETaxes 2017'!$A$6:$Q$20,6,FALSE)</f>
        <v>0</v>
      </c>
      <c r="F76" s="128">
        <f>VLOOKUP($B76,'RETaxes 2017'!$A$6:$Q$20,7,FALSE)</f>
        <v>0</v>
      </c>
      <c r="G76" s="128">
        <f>VLOOKUP($B76,'RETaxes 2017'!$A$6:$Q$20,8,FALSE)</f>
        <v>0</v>
      </c>
      <c r="H76" s="128">
        <f>VLOOKUP($B76,'RETaxes 2017'!$A$6:$Q$20,9,FALSE)</f>
        <v>0</v>
      </c>
      <c r="I76" s="128">
        <f>VLOOKUP($B76,'RETaxes 2017'!$A$6:$Q$20,10,FALSE)</f>
        <v>0</v>
      </c>
      <c r="J76" s="128">
        <f>VLOOKUP($B76,'RETaxes 2017'!$A$6:$Q$20,11,FALSE)</f>
        <v>0</v>
      </c>
      <c r="K76" s="128">
        <f>VLOOKUP($B76,'RETaxes 2017'!$A$6:$Q$20,12,FALSE)</f>
        <v>0</v>
      </c>
      <c r="L76" s="128">
        <f>VLOOKUP($B76,'RETaxes 2017'!$A$6:$Q$20,13,FALSE)</f>
        <v>0</v>
      </c>
      <c r="M76" s="128">
        <f>VLOOKUP($B76,'RETaxes 2017'!$A$6:$Q$20,14,FALSE)</f>
        <v>0</v>
      </c>
      <c r="N76" s="128">
        <f>VLOOKUP($B76,'RETaxes 2017'!$A$6:$Q$20,15,FALSE)</f>
        <v>0</v>
      </c>
      <c r="O76" s="128">
        <f>VLOOKUP($B76,'RETaxes 2017'!$A$6:$Q$20,16,FALSE)</f>
        <v>0</v>
      </c>
      <c r="P76" s="128">
        <f t="shared" si="9"/>
        <v>0</v>
      </c>
      <c r="Q76" s="128" t="str">
        <f t="shared" si="2"/>
        <v/>
      </c>
      <c r="R76" s="185" t="str">
        <f t="shared" si="3"/>
        <v/>
      </c>
    </row>
    <row r="77" spans="1:18" hidden="1" outlineLevel="1" x14ac:dyDescent="0.25">
      <c r="A77" s="1"/>
      <c r="B77" s="9" t="s">
        <v>524</v>
      </c>
      <c r="C77" s="128"/>
      <c r="D77" s="128">
        <f>VLOOKUP($B77,'RETaxes 2017'!$A$6:$Q$20,5,FALSE)</f>
        <v>0</v>
      </c>
      <c r="E77" s="128">
        <f>VLOOKUP($B77,'RETaxes 2017'!$A$6:$Q$20,6,FALSE)</f>
        <v>0</v>
      </c>
      <c r="F77" s="128">
        <f>VLOOKUP($B77,'RETaxes 2017'!$A$6:$Q$20,7,FALSE)</f>
        <v>0</v>
      </c>
      <c r="G77" s="128">
        <f>VLOOKUP($B77,'RETaxes 2017'!$A$6:$Q$20,8,FALSE)</f>
        <v>0</v>
      </c>
      <c r="H77" s="128">
        <f>VLOOKUP($B77,'RETaxes 2017'!$A$6:$Q$20,9,FALSE)</f>
        <v>0</v>
      </c>
      <c r="I77" s="128">
        <f>VLOOKUP($B77,'RETaxes 2017'!$A$6:$Q$20,10,FALSE)</f>
        <v>0</v>
      </c>
      <c r="J77" s="128">
        <f>VLOOKUP($B77,'RETaxes 2017'!$A$6:$Q$20,11,FALSE)</f>
        <v>0</v>
      </c>
      <c r="K77" s="128">
        <f>VLOOKUP($B77,'RETaxes 2017'!$A$6:$Q$20,12,FALSE)</f>
        <v>0</v>
      </c>
      <c r="L77" s="128">
        <f>VLOOKUP($B77,'RETaxes 2017'!$A$6:$Q$20,13,FALSE)</f>
        <v>0</v>
      </c>
      <c r="M77" s="128">
        <f>VLOOKUP($B77,'RETaxes 2017'!$A$6:$Q$20,14,FALSE)</f>
        <v>0</v>
      </c>
      <c r="N77" s="128">
        <f>VLOOKUP($B77,'RETaxes 2017'!$A$6:$Q$20,15,FALSE)</f>
        <v>0</v>
      </c>
      <c r="O77" s="128">
        <f>VLOOKUP($B77,'RETaxes 2017'!$A$6:$Q$20,16,FALSE)</f>
        <v>0</v>
      </c>
      <c r="P77" s="128">
        <f t="shared" si="9"/>
        <v>0</v>
      </c>
      <c r="Q77" s="128" t="str">
        <f t="shared" si="2"/>
        <v/>
      </c>
      <c r="R77" s="185" t="str">
        <f t="shared" si="3"/>
        <v/>
      </c>
    </row>
    <row r="78" spans="1:18" hidden="1" outlineLevel="1" x14ac:dyDescent="0.25">
      <c r="A78" s="1"/>
      <c r="B78" s="9" t="s">
        <v>525</v>
      </c>
      <c r="C78" s="128"/>
      <c r="D78" s="128">
        <f>VLOOKUP($B78,'RETaxes 2017'!$A$6:$Q$20,5,FALSE)</f>
        <v>0</v>
      </c>
      <c r="E78" s="128">
        <f>VLOOKUP($B78,'RETaxes 2017'!$A$6:$Q$20,6,FALSE)</f>
        <v>0</v>
      </c>
      <c r="F78" s="128">
        <f>VLOOKUP($B78,'RETaxes 2017'!$A$6:$Q$20,7,FALSE)</f>
        <v>0</v>
      </c>
      <c r="G78" s="128">
        <f>VLOOKUP($B78,'RETaxes 2017'!$A$6:$Q$20,8,FALSE)</f>
        <v>0</v>
      </c>
      <c r="H78" s="128">
        <f>VLOOKUP($B78,'RETaxes 2017'!$A$6:$Q$20,9,FALSE)</f>
        <v>0</v>
      </c>
      <c r="I78" s="128">
        <f>VLOOKUP($B78,'RETaxes 2017'!$A$6:$Q$20,10,FALSE)</f>
        <v>0</v>
      </c>
      <c r="J78" s="128">
        <f>VLOOKUP($B78,'RETaxes 2017'!$A$6:$Q$20,11,FALSE)</f>
        <v>0</v>
      </c>
      <c r="K78" s="128">
        <f>VLOOKUP($B78,'RETaxes 2017'!$A$6:$Q$20,12,FALSE)</f>
        <v>0</v>
      </c>
      <c r="L78" s="128">
        <f>VLOOKUP($B78,'RETaxes 2017'!$A$6:$Q$20,13,FALSE)</f>
        <v>0</v>
      </c>
      <c r="M78" s="128">
        <f>VLOOKUP($B78,'RETaxes 2017'!$A$6:$Q$20,14,FALSE)</f>
        <v>0</v>
      </c>
      <c r="N78" s="128">
        <f>VLOOKUP($B78,'RETaxes 2017'!$A$6:$Q$20,15,FALSE)</f>
        <v>0</v>
      </c>
      <c r="O78" s="128">
        <f>VLOOKUP($B78,'RETaxes 2017'!$A$6:$Q$20,16,FALSE)</f>
        <v>0</v>
      </c>
      <c r="P78" s="128">
        <f t="shared" si="9"/>
        <v>0</v>
      </c>
      <c r="Q78" s="128" t="str">
        <f t="shared" si="2"/>
        <v/>
      </c>
      <c r="R78" s="185" t="str">
        <f t="shared" si="3"/>
        <v/>
      </c>
    </row>
    <row r="79" spans="1:18" hidden="1" outlineLevel="1" x14ac:dyDescent="0.25">
      <c r="A79" s="180"/>
      <c r="B79" s="9" t="s">
        <v>526</v>
      </c>
      <c r="C79" s="128"/>
      <c r="D79" s="128">
        <f>VLOOKUP($B79,'RETaxes 2017'!$A$6:$Q$27,5,FALSE)</f>
        <v>0</v>
      </c>
      <c r="E79" s="128">
        <f>VLOOKUP($B79,'RETaxes 2017'!$A$6:$Q$27,6,FALSE)</f>
        <v>0</v>
      </c>
      <c r="F79" s="128">
        <f>VLOOKUP($B79,'RETaxes 2017'!$A$6:$Q$27,7,FALSE)</f>
        <v>0</v>
      </c>
      <c r="G79" s="128">
        <f>VLOOKUP($B79,'RETaxes 2017'!$A$6:$Q$27,8,FALSE)</f>
        <v>0</v>
      </c>
      <c r="H79" s="128">
        <f>VLOOKUP($B79,'RETaxes 2017'!$A$6:$Q$27,9,FALSE)</f>
        <v>0</v>
      </c>
      <c r="I79" s="128">
        <f>VLOOKUP($B79,'RETaxes 2017'!$A$6:$Q$27,17,FALSE)</f>
        <v>0</v>
      </c>
      <c r="J79" s="128">
        <f>VLOOKUP($B79,'RETaxes 2017'!$A$6:$Q$27,11,FALSE)</f>
        <v>0</v>
      </c>
      <c r="K79" s="128">
        <f>VLOOKUP($B79,'RETaxes 2017'!$A$6:$Q$27,12,FALSE)</f>
        <v>0</v>
      </c>
      <c r="L79" s="128">
        <f>VLOOKUP($B79,'RETaxes 2017'!$A$6:$Q$27,13,FALSE)</f>
        <v>0</v>
      </c>
      <c r="M79" s="128">
        <f>VLOOKUP($B79,'RETaxes 2017'!$A$6:$Q$27,14,FALSE)</f>
        <v>0</v>
      </c>
      <c r="N79" s="128">
        <f>VLOOKUP($B79,'RETaxes 2017'!$A$6:$Q$27,15,FALSE)</f>
        <v>0</v>
      </c>
      <c r="O79" s="128">
        <f>VLOOKUP($B79,'RETaxes 2017'!$A$6:$Q$27,16,FALSE)</f>
        <v>0</v>
      </c>
      <c r="P79" s="128">
        <f t="shared" ref="P79:P85" si="10">SUM(D79:O79)</f>
        <v>0</v>
      </c>
      <c r="Q79" s="128"/>
      <c r="R79" s="185"/>
    </row>
    <row r="80" spans="1:18" hidden="1" outlineLevel="1" x14ac:dyDescent="0.25">
      <c r="A80" s="180"/>
      <c r="B80" s="9" t="s">
        <v>527</v>
      </c>
      <c r="C80" s="128"/>
      <c r="D80" s="128">
        <f>VLOOKUP($B80,'RETaxes 2017'!$A$6:$Q$27,5,FALSE)</f>
        <v>0</v>
      </c>
      <c r="E80" s="128">
        <f>VLOOKUP($B80,'RETaxes 2017'!$A$6:$Q$27,6,FALSE)</f>
        <v>0</v>
      </c>
      <c r="F80" s="128">
        <f>VLOOKUP($B80,'RETaxes 2017'!$A$6:$Q$27,7,FALSE)</f>
        <v>0</v>
      </c>
      <c r="G80" s="128">
        <f>VLOOKUP($B80,'RETaxes 2017'!$A$6:$Q$27,8,FALSE)</f>
        <v>0</v>
      </c>
      <c r="H80" s="128">
        <f>VLOOKUP($B80,'RETaxes 2017'!$A$6:$Q$27,9,FALSE)</f>
        <v>0</v>
      </c>
      <c r="I80" s="128">
        <f>VLOOKUP($B80,'RETaxes 2017'!$A$6:$Q$27,10,FALSE)</f>
        <v>0</v>
      </c>
      <c r="J80" s="128">
        <f>VLOOKUP($B80,'RETaxes 2017'!$A$6:$Q$27,11,FALSE)</f>
        <v>0</v>
      </c>
      <c r="K80" s="128">
        <f>VLOOKUP($B80,'RETaxes 2017'!$A$6:$Q$27,12,FALSE)</f>
        <v>0</v>
      </c>
      <c r="L80" s="128">
        <f>VLOOKUP($B80,'RETaxes 2017'!$A$6:$Q$27,13,FALSE)</f>
        <v>0</v>
      </c>
      <c r="M80" s="128">
        <f>VLOOKUP($B80,'RETaxes 2017'!$A$6:$Q$27,14,FALSE)</f>
        <v>0</v>
      </c>
      <c r="N80" s="128">
        <f>VLOOKUP($B80,'RETaxes 2017'!$A$6:$Q$27,15,FALSE)</f>
        <v>0</v>
      </c>
      <c r="O80" s="128">
        <f>VLOOKUP($B80,'RETaxes 2017'!$A$6:$Q$27,16,FALSE)</f>
        <v>0</v>
      </c>
      <c r="P80" s="128">
        <f t="shared" si="10"/>
        <v>0</v>
      </c>
      <c r="Q80" s="128"/>
      <c r="R80" s="185"/>
    </row>
    <row r="81" spans="1:18" hidden="1" outlineLevel="1" x14ac:dyDescent="0.25">
      <c r="A81" s="180"/>
      <c r="B81" s="9" t="s">
        <v>528</v>
      </c>
      <c r="C81" s="128"/>
      <c r="D81" s="128">
        <f>VLOOKUP($B81,'RETaxes 2017'!$A$6:$Q$27,5,FALSE)</f>
        <v>0</v>
      </c>
      <c r="E81" s="128">
        <f>VLOOKUP($B81,'RETaxes 2017'!$A$6:$Q$27,6,FALSE)</f>
        <v>0</v>
      </c>
      <c r="F81" s="128">
        <f>VLOOKUP($B81,'RETaxes 2017'!$A$6:$Q$27,7,FALSE)</f>
        <v>0</v>
      </c>
      <c r="G81" s="128">
        <f>VLOOKUP($B81,'RETaxes 2017'!$A$6:$Q$27,8,FALSE)</f>
        <v>0</v>
      </c>
      <c r="H81" s="128">
        <f>VLOOKUP($B81,'RETaxes 2017'!$A$6:$Q$27,9,FALSE)</f>
        <v>0</v>
      </c>
      <c r="I81" s="128">
        <f>VLOOKUP($B81,'RETaxes 2017'!$A$6:$Q$27,10,FALSE)</f>
        <v>0</v>
      </c>
      <c r="J81" s="128">
        <f>VLOOKUP($B81,'RETaxes 2017'!$A$6:$Q$27,11,FALSE)</f>
        <v>0</v>
      </c>
      <c r="K81" s="128">
        <f>VLOOKUP($B81,'RETaxes 2017'!$A$6:$Q$27,12,FALSE)</f>
        <v>0</v>
      </c>
      <c r="L81" s="128">
        <f>VLOOKUP($B81,'RETaxes 2017'!$A$6:$Q$27,13,FALSE)</f>
        <v>0</v>
      </c>
      <c r="M81" s="128">
        <f>VLOOKUP($B81,'RETaxes 2017'!$A$6:$Q$27,14,FALSE)</f>
        <v>0</v>
      </c>
      <c r="N81" s="128">
        <f>VLOOKUP($B81,'RETaxes 2017'!$A$6:$Q$27,15,FALSE)</f>
        <v>0</v>
      </c>
      <c r="O81" s="128">
        <f>VLOOKUP($B81,'RETaxes 2017'!$A$6:$Q$27,16,FALSE)</f>
        <v>0</v>
      </c>
      <c r="P81" s="128">
        <f t="shared" si="10"/>
        <v>0</v>
      </c>
      <c r="Q81" s="128"/>
      <c r="R81" s="185"/>
    </row>
    <row r="82" spans="1:18" hidden="1" outlineLevel="1" x14ac:dyDescent="0.25">
      <c r="A82" s="180"/>
      <c r="B82" s="9" t="s">
        <v>529</v>
      </c>
      <c r="C82" s="128"/>
      <c r="D82" s="128">
        <f>VLOOKUP($B82,'RETaxes 2017'!$A$6:$Q$27,5,FALSE)</f>
        <v>0</v>
      </c>
      <c r="E82" s="128">
        <f>VLOOKUP($B82,'RETaxes 2017'!$A$6:$Q$27,6,FALSE)</f>
        <v>0</v>
      </c>
      <c r="F82" s="128">
        <f>VLOOKUP($B82,'RETaxes 2017'!$A$6:$Q$27,7,FALSE)</f>
        <v>0</v>
      </c>
      <c r="G82" s="128">
        <f>VLOOKUP($B82,'RETaxes 2017'!$A$6:$Q$27,8,FALSE)</f>
        <v>0</v>
      </c>
      <c r="H82" s="128">
        <f>VLOOKUP($B82,'RETaxes 2017'!$A$6:$Q$27,9,FALSE)</f>
        <v>0</v>
      </c>
      <c r="I82" s="128">
        <f>VLOOKUP($B82,'RETaxes 2017'!$A$6:$Q$27,10,FALSE)</f>
        <v>0</v>
      </c>
      <c r="J82" s="128">
        <f>VLOOKUP($B82,'RETaxes 2017'!$A$6:$Q$27,11,FALSE)</f>
        <v>0</v>
      </c>
      <c r="K82" s="128">
        <f>VLOOKUP($B82,'RETaxes 2017'!$A$6:$Q$27,12,FALSE)</f>
        <v>0</v>
      </c>
      <c r="L82" s="128">
        <f>VLOOKUP($B82,'RETaxes 2017'!$A$6:$Q$27,13,FALSE)</f>
        <v>0</v>
      </c>
      <c r="M82" s="128">
        <f>VLOOKUP($B82,'RETaxes 2017'!$A$6:$Q$27,14,FALSE)</f>
        <v>0</v>
      </c>
      <c r="N82" s="128">
        <f>VLOOKUP($B82,'RETaxes 2017'!$A$6:$Q$27,15,FALSE)</f>
        <v>0</v>
      </c>
      <c r="O82" s="128">
        <f>VLOOKUP($B82,'RETaxes 2017'!$A$6:$Q$27,16,FALSE)</f>
        <v>0</v>
      </c>
      <c r="P82" s="128">
        <f t="shared" si="10"/>
        <v>0</v>
      </c>
      <c r="Q82" s="128"/>
      <c r="R82" s="185"/>
    </row>
    <row r="83" spans="1:18" hidden="1" outlineLevel="1" x14ac:dyDescent="0.25">
      <c r="A83" s="180"/>
      <c r="B83" s="9" t="s">
        <v>530</v>
      </c>
      <c r="C83" s="128"/>
      <c r="D83" s="128">
        <f>VLOOKUP($B83,'RETaxes 2017'!$A$6:$Q$27,5,FALSE)</f>
        <v>0</v>
      </c>
      <c r="E83" s="128">
        <f>VLOOKUP($B83,'RETaxes 2017'!$A$6:$Q$27,6,FALSE)</f>
        <v>0</v>
      </c>
      <c r="F83" s="128">
        <f>VLOOKUP($B83,'RETaxes 2017'!$A$6:$Q$27,7,FALSE)</f>
        <v>0</v>
      </c>
      <c r="G83" s="128">
        <f>VLOOKUP($B83,'RETaxes 2017'!$A$6:$Q$27,8,FALSE)</f>
        <v>0</v>
      </c>
      <c r="H83" s="128">
        <f>VLOOKUP($B83,'RETaxes 2017'!$A$6:$Q$27,9,FALSE)</f>
        <v>0</v>
      </c>
      <c r="I83" s="128">
        <f>VLOOKUP($B83,'RETaxes 2017'!$A$6:$Q$27,10,FALSE)</f>
        <v>0</v>
      </c>
      <c r="J83" s="128">
        <f>VLOOKUP($B83,'RETaxes 2017'!$A$6:$Q$27,11,FALSE)</f>
        <v>0</v>
      </c>
      <c r="K83" s="128">
        <f>VLOOKUP($B83,'RETaxes 2017'!$A$6:$Q$27,12,FALSE)</f>
        <v>0</v>
      </c>
      <c r="L83" s="128">
        <f>VLOOKUP($B83,'RETaxes 2017'!$A$6:$Q$27,13,FALSE)</f>
        <v>0</v>
      </c>
      <c r="M83" s="128">
        <f>VLOOKUP($B83,'RETaxes 2017'!$A$6:$Q$27,14,FALSE)</f>
        <v>0</v>
      </c>
      <c r="N83" s="128">
        <f>VLOOKUP($B83,'RETaxes 2017'!$A$6:$Q$27,15,FALSE)</f>
        <v>0</v>
      </c>
      <c r="O83" s="128">
        <f>VLOOKUP($B83,'RETaxes 2017'!$A$6:$Q$27,16,FALSE)</f>
        <v>0</v>
      </c>
      <c r="P83" s="128">
        <f t="shared" si="10"/>
        <v>0</v>
      </c>
      <c r="Q83" s="128"/>
      <c r="R83" s="185"/>
    </row>
    <row r="84" spans="1:18" hidden="1" outlineLevel="1" x14ac:dyDescent="0.25">
      <c r="A84" s="180"/>
      <c r="B84" s="9" t="s">
        <v>532</v>
      </c>
      <c r="C84" s="128"/>
      <c r="D84" s="128">
        <f>VLOOKUP($B84,'RETaxes 2017'!$A$6:$Q$27,5,FALSE)</f>
        <v>0</v>
      </c>
      <c r="E84" s="128">
        <f>VLOOKUP($B84,'RETaxes 2017'!$A$6:$Q$27,6,FALSE)</f>
        <v>0</v>
      </c>
      <c r="F84" s="128">
        <f>VLOOKUP($B84,'RETaxes 2017'!$A$6:$Q$27,7,FALSE)</f>
        <v>0</v>
      </c>
      <c r="G84" s="128">
        <f>VLOOKUP($B84,'RETaxes 2017'!$A$6:$Q$27,8,FALSE)</f>
        <v>0</v>
      </c>
      <c r="H84" s="128">
        <f>VLOOKUP($B84,'RETaxes 2017'!$A$6:$Q$27,9,FALSE)</f>
        <v>0</v>
      </c>
      <c r="I84" s="128">
        <f>VLOOKUP($B84,'RETaxes 2017'!$A$6:$Q$27,10,FALSE)</f>
        <v>0</v>
      </c>
      <c r="J84" s="128">
        <f>VLOOKUP($B84,'RETaxes 2017'!$A$6:$Q$27,11,FALSE)</f>
        <v>0</v>
      </c>
      <c r="K84" s="128">
        <f>VLOOKUP($B84,'RETaxes 2017'!$A$6:$Q$27,12,FALSE)</f>
        <v>0</v>
      </c>
      <c r="L84" s="128">
        <f>VLOOKUP($B84,'RETaxes 2017'!$A$6:$Q$27,13,FALSE)</f>
        <v>0</v>
      </c>
      <c r="M84" s="128">
        <f>VLOOKUP($B84,'RETaxes 2017'!$A$6:$Q$27,14,FALSE)</f>
        <v>0</v>
      </c>
      <c r="N84" s="128">
        <f>VLOOKUP($B84,'RETaxes 2017'!$A$6:$Q$27,15,FALSE)</f>
        <v>0</v>
      </c>
      <c r="O84" s="128">
        <f>VLOOKUP($B84,'RETaxes 2017'!$A$6:$Q$27,16,FALSE)</f>
        <v>0</v>
      </c>
      <c r="P84" s="128">
        <f t="shared" si="10"/>
        <v>0</v>
      </c>
      <c r="Q84" s="128"/>
      <c r="R84" s="185"/>
    </row>
    <row r="85" spans="1:18" hidden="1" outlineLevel="1" x14ac:dyDescent="0.25">
      <c r="A85" s="180"/>
      <c r="B85" s="9" t="s">
        <v>533</v>
      </c>
      <c r="C85" s="128"/>
      <c r="D85" s="128">
        <f>VLOOKUP($B85,'RETaxes 2017'!$A$6:$Q$27,5,FALSE)</f>
        <v>0</v>
      </c>
      <c r="E85" s="128">
        <f>VLOOKUP($B85,'RETaxes 2017'!$A$6:$Q$27,6,FALSE)</f>
        <v>0</v>
      </c>
      <c r="F85" s="128">
        <f>VLOOKUP($B85,'RETaxes 2017'!$A$6:$Q$27,7,FALSE)</f>
        <v>0</v>
      </c>
      <c r="G85" s="128">
        <f>VLOOKUP($B85,'RETaxes 2017'!$A$6:$Q$27,8,FALSE)</f>
        <v>0</v>
      </c>
      <c r="H85" s="128">
        <f>VLOOKUP($B85,'RETaxes 2017'!$A$6:$Q$27,9,FALSE)</f>
        <v>0</v>
      </c>
      <c r="I85" s="128">
        <f>VLOOKUP($B85,'RETaxes 2017'!$A$6:$Q$27,10,FALSE)</f>
        <v>0</v>
      </c>
      <c r="J85" s="128">
        <f>VLOOKUP($B85,'RETaxes 2017'!$A$6:$Q$27,11,FALSE)</f>
        <v>0</v>
      </c>
      <c r="K85" s="128">
        <f>VLOOKUP($B85,'RETaxes 2017'!$A$6:$Q$27,12,FALSE)</f>
        <v>0</v>
      </c>
      <c r="L85" s="128">
        <f>VLOOKUP($B85,'RETaxes 2017'!$A$6:$Q$27,13,FALSE)</f>
        <v>0</v>
      </c>
      <c r="M85" s="128">
        <f>VLOOKUP($B85,'RETaxes 2017'!$A$6:$Q$27,14,FALSE)</f>
        <v>0</v>
      </c>
      <c r="N85" s="128">
        <f>VLOOKUP($B85,'RETaxes 2017'!$A$6:$Q$27,15,FALSE)</f>
        <v>0</v>
      </c>
      <c r="O85" s="128">
        <f>VLOOKUP($B85,'RETaxes 2017'!$A$6:$Q$27,16,FALSE)</f>
        <v>0</v>
      </c>
      <c r="P85" s="128">
        <f t="shared" si="10"/>
        <v>0</v>
      </c>
      <c r="Q85" s="128"/>
      <c r="R85" s="185"/>
    </row>
    <row r="86" spans="1:18" collapsed="1" x14ac:dyDescent="0.25">
      <c r="A86" s="1" t="s">
        <v>21</v>
      </c>
      <c r="B86" s="5" t="s">
        <v>22</v>
      </c>
      <c r="C86" s="128"/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>
        <v>0</v>
      </c>
      <c r="Q86" s="128" t="str">
        <f t="shared" si="2"/>
        <v/>
      </c>
      <c r="R86" s="185" t="str">
        <f t="shared" si="3"/>
        <v/>
      </c>
    </row>
    <row r="87" spans="1:18" x14ac:dyDescent="0.25">
      <c r="A87" s="1" t="s">
        <v>23</v>
      </c>
      <c r="B87" s="5" t="s">
        <v>24</v>
      </c>
      <c r="C87" s="128"/>
      <c r="D87" s="128"/>
      <c r="E87" s="128"/>
      <c r="F87" s="128"/>
      <c r="G87" s="128"/>
      <c r="H87" s="128"/>
      <c r="I87" s="128"/>
      <c r="J87" s="128"/>
      <c r="K87" s="128"/>
      <c r="L87" s="128"/>
      <c r="M87" s="128"/>
      <c r="N87" s="128"/>
      <c r="O87" s="128"/>
      <c r="P87" s="128">
        <v>0</v>
      </c>
      <c r="Q87" s="128" t="str">
        <f t="shared" si="2"/>
        <v/>
      </c>
      <c r="R87" s="185" t="str">
        <f t="shared" si="3"/>
        <v/>
      </c>
    </row>
    <row r="88" spans="1:18" x14ac:dyDescent="0.25">
      <c r="A88" s="1" t="s">
        <v>25</v>
      </c>
      <c r="B88" s="5" t="s">
        <v>26</v>
      </c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>
        <v>0</v>
      </c>
      <c r="Q88" s="128" t="str">
        <f t="shared" si="2"/>
        <v/>
      </c>
      <c r="R88" s="185" t="str">
        <f t="shared" si="3"/>
        <v/>
      </c>
    </row>
    <row r="89" spans="1:18" ht="15.75" thickBot="1" x14ac:dyDescent="0.3">
      <c r="A89" s="1" t="s">
        <v>27</v>
      </c>
      <c r="B89" s="5" t="s">
        <v>28</v>
      </c>
      <c r="C89" s="128"/>
      <c r="D89" s="128"/>
      <c r="E89" s="128"/>
      <c r="F89" s="128"/>
      <c r="G89" s="128"/>
      <c r="H89" s="128"/>
      <c r="I89" s="128"/>
      <c r="J89" s="128"/>
      <c r="K89" s="128"/>
      <c r="L89" s="128"/>
      <c r="M89" s="128"/>
      <c r="N89" s="128"/>
      <c r="O89" s="128"/>
      <c r="P89" s="128">
        <v>0</v>
      </c>
      <c r="Q89" s="128" t="str">
        <f t="shared" si="2"/>
        <v/>
      </c>
      <c r="R89" s="185" t="str">
        <f t="shared" si="3"/>
        <v/>
      </c>
    </row>
    <row r="90" spans="1:18" s="121" customFormat="1" x14ac:dyDescent="0.25">
      <c r="A90" s="6" t="s">
        <v>29</v>
      </c>
      <c r="B90" s="3" t="s">
        <v>30</v>
      </c>
      <c r="C90" s="130">
        <f t="shared" ref="C90:P90" si="11">SUM(C86:C89,C63,C62,C39,C38)</f>
        <v>234583</v>
      </c>
      <c r="D90" s="130">
        <f t="shared" si="11"/>
        <v>19898</v>
      </c>
      <c r="E90" s="130">
        <f t="shared" si="11"/>
        <v>19898</v>
      </c>
      <c r="F90" s="130">
        <f t="shared" si="11"/>
        <v>19898</v>
      </c>
      <c r="G90" s="130">
        <f t="shared" si="11"/>
        <v>19898</v>
      </c>
      <c r="H90" s="130">
        <f t="shared" si="11"/>
        <v>19898</v>
      </c>
      <c r="I90" s="130">
        <f t="shared" si="11"/>
        <v>19898</v>
      </c>
      <c r="J90" s="130">
        <f t="shared" si="11"/>
        <v>19898</v>
      </c>
      <c r="K90" s="130">
        <f t="shared" si="11"/>
        <v>19898</v>
      </c>
      <c r="L90" s="130">
        <f t="shared" si="11"/>
        <v>19898</v>
      </c>
      <c r="M90" s="130">
        <f t="shared" si="11"/>
        <v>19898</v>
      </c>
      <c r="N90" s="130">
        <f t="shared" si="11"/>
        <v>19898</v>
      </c>
      <c r="O90" s="130">
        <f t="shared" si="11"/>
        <v>19898</v>
      </c>
      <c r="P90" s="130">
        <f t="shared" si="11"/>
        <v>238771</v>
      </c>
      <c r="Q90" s="130">
        <f t="shared" si="2"/>
        <v>4188</v>
      </c>
      <c r="R90" s="185">
        <f t="shared" si="3"/>
        <v>1.7852956096562837E-2</v>
      </c>
    </row>
    <row r="91" spans="1:18" x14ac:dyDescent="0.25">
      <c r="A91" s="1"/>
      <c r="B91" s="5"/>
      <c r="C91" s="133"/>
      <c r="D91" s="133"/>
      <c r="E91" s="133"/>
      <c r="F91" s="133"/>
      <c r="G91" s="133"/>
      <c r="H91" s="133"/>
      <c r="I91" s="133"/>
      <c r="J91" s="133"/>
      <c r="K91" s="133"/>
      <c r="L91" s="133"/>
      <c r="M91" s="133"/>
      <c r="N91" s="133"/>
      <c r="O91" s="133"/>
      <c r="P91" s="133"/>
      <c r="Q91" s="133" t="str">
        <f t="shared" si="2"/>
        <v/>
      </c>
      <c r="R91" s="185" t="str">
        <f t="shared" si="3"/>
        <v/>
      </c>
    </row>
    <row r="92" spans="1:18" x14ac:dyDescent="0.25">
      <c r="A92" s="1" t="s">
        <v>31</v>
      </c>
      <c r="B92" s="5" t="s">
        <v>32</v>
      </c>
      <c r="C92" s="128"/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 t="str">
        <f t="shared" si="2"/>
        <v/>
      </c>
      <c r="R92" s="185" t="str">
        <f t="shared" si="3"/>
        <v/>
      </c>
    </row>
    <row r="93" spans="1:18" x14ac:dyDescent="0.25">
      <c r="A93" s="1" t="s">
        <v>33</v>
      </c>
      <c r="B93" s="5" t="s">
        <v>34</v>
      </c>
      <c r="C93" s="128">
        <v>0</v>
      </c>
      <c r="D93" s="128">
        <v>0</v>
      </c>
      <c r="E93" s="128">
        <v>0</v>
      </c>
      <c r="F93" s="128">
        <v>0</v>
      </c>
      <c r="G93" s="128">
        <v>0</v>
      </c>
      <c r="H93" s="128">
        <v>0</v>
      </c>
      <c r="I93" s="128">
        <v>0</v>
      </c>
      <c r="J93" s="128">
        <v>0</v>
      </c>
      <c r="K93" s="128">
        <v>0</v>
      </c>
      <c r="L93" s="128">
        <v>0</v>
      </c>
      <c r="M93" s="128">
        <v>0</v>
      </c>
      <c r="N93" s="128">
        <v>0</v>
      </c>
      <c r="O93" s="128">
        <v>0</v>
      </c>
      <c r="P93" s="128">
        <f>SUM(D93:O93)</f>
        <v>0</v>
      </c>
      <c r="Q93" s="128">
        <f t="shared" si="2"/>
        <v>0</v>
      </c>
      <c r="R93" s="185" t="str">
        <f t="shared" si="3"/>
        <v/>
      </c>
    </row>
    <row r="94" spans="1:18" x14ac:dyDescent="0.25">
      <c r="A94" s="1" t="s">
        <v>35</v>
      </c>
      <c r="B94" s="5" t="s">
        <v>36</v>
      </c>
      <c r="C94" s="128">
        <v>0</v>
      </c>
      <c r="D94" s="128">
        <v>0</v>
      </c>
      <c r="E94" s="128">
        <v>0</v>
      </c>
      <c r="F94" s="128">
        <v>0</v>
      </c>
      <c r="G94" s="128">
        <v>0</v>
      </c>
      <c r="H94" s="128">
        <v>0</v>
      </c>
      <c r="I94" s="128">
        <v>0</v>
      </c>
      <c r="J94" s="128">
        <v>0</v>
      </c>
      <c r="K94" s="128">
        <v>0</v>
      </c>
      <c r="L94" s="128">
        <v>0</v>
      </c>
      <c r="M94" s="128">
        <v>0</v>
      </c>
      <c r="N94" s="128">
        <v>0</v>
      </c>
      <c r="O94" s="128">
        <v>0</v>
      </c>
      <c r="P94" s="128">
        <f>SUM(D94:O94)</f>
        <v>0</v>
      </c>
      <c r="Q94" s="128">
        <f t="shared" si="2"/>
        <v>0</v>
      </c>
      <c r="R94" s="185" t="str">
        <f t="shared" si="3"/>
        <v/>
      </c>
    </row>
    <row r="95" spans="1:18" x14ac:dyDescent="0.25">
      <c r="A95" s="1"/>
      <c r="B95" s="5" t="s">
        <v>388</v>
      </c>
      <c r="C95" s="128">
        <v>0</v>
      </c>
      <c r="D95" s="128">
        <v>0</v>
      </c>
      <c r="E95" s="128">
        <v>0</v>
      </c>
      <c r="F95" s="128">
        <v>0</v>
      </c>
      <c r="G95" s="128">
        <v>0</v>
      </c>
      <c r="H95" s="128">
        <v>0</v>
      </c>
      <c r="I95" s="128">
        <v>0</v>
      </c>
      <c r="J95" s="128">
        <v>0</v>
      </c>
      <c r="K95" s="128">
        <v>0</v>
      </c>
      <c r="L95" s="128">
        <v>0</v>
      </c>
      <c r="M95" s="128">
        <v>0</v>
      </c>
      <c r="N95" s="128">
        <v>0</v>
      </c>
      <c r="O95" s="128">
        <v>0</v>
      </c>
      <c r="P95" s="128">
        <f>SUM(D95:O95)</f>
        <v>0</v>
      </c>
      <c r="Q95" s="128">
        <f t="shared" si="2"/>
        <v>0</v>
      </c>
      <c r="R95" s="185" t="str">
        <f t="shared" si="3"/>
        <v/>
      </c>
    </row>
    <row r="96" spans="1:18" x14ac:dyDescent="0.25">
      <c r="A96" s="1"/>
      <c r="B96" s="5" t="s">
        <v>387</v>
      </c>
      <c r="C96" s="128">
        <v>0</v>
      </c>
      <c r="D96" s="128">
        <v>0</v>
      </c>
      <c r="E96" s="128">
        <v>0</v>
      </c>
      <c r="F96" s="128">
        <v>0</v>
      </c>
      <c r="G96" s="128">
        <v>0</v>
      </c>
      <c r="H96" s="128">
        <v>0</v>
      </c>
      <c r="I96" s="128">
        <v>0</v>
      </c>
      <c r="J96" s="128">
        <v>0</v>
      </c>
      <c r="K96" s="128">
        <v>0</v>
      </c>
      <c r="L96" s="128">
        <v>0</v>
      </c>
      <c r="M96" s="128">
        <v>0</v>
      </c>
      <c r="N96" s="128">
        <v>0</v>
      </c>
      <c r="O96" s="128">
        <v>0</v>
      </c>
      <c r="P96" s="128">
        <v>0</v>
      </c>
      <c r="Q96" s="128">
        <f t="shared" ref="Q96:Q165" si="12">IF(C96&lt;&gt;"",P96-C96,"")</f>
        <v>0</v>
      </c>
      <c r="R96" s="185" t="str">
        <f t="shared" ref="R96:R161" si="13">IF(C96&lt;&gt;0,Q96/C96,"")</f>
        <v/>
      </c>
    </row>
    <row r="97" spans="1:19" ht="15.75" thickBot="1" x14ac:dyDescent="0.3">
      <c r="A97" s="1"/>
      <c r="B97" s="5"/>
      <c r="C97" s="133"/>
      <c r="D97" s="133"/>
      <c r="E97" s="133"/>
      <c r="F97" s="133"/>
      <c r="G97" s="133"/>
      <c r="H97" s="133"/>
      <c r="I97" s="133"/>
      <c r="J97" s="133"/>
      <c r="K97" s="133"/>
      <c r="L97" s="133"/>
      <c r="M97" s="133"/>
      <c r="N97" s="133"/>
      <c r="O97" s="133"/>
      <c r="P97" s="133"/>
      <c r="Q97" s="133" t="str">
        <f t="shared" si="12"/>
        <v/>
      </c>
      <c r="R97" s="185" t="str">
        <f t="shared" si="13"/>
        <v/>
      </c>
    </row>
    <row r="98" spans="1:19" s="121" customFormat="1" x14ac:dyDescent="0.25">
      <c r="A98" s="6" t="s">
        <v>37</v>
      </c>
      <c r="B98" s="3" t="s">
        <v>38</v>
      </c>
      <c r="C98" s="130">
        <f t="shared" ref="C98:O98" si="14">SUM(C93:C97)</f>
        <v>0</v>
      </c>
      <c r="D98" s="130">
        <f t="shared" si="14"/>
        <v>0</v>
      </c>
      <c r="E98" s="130">
        <f t="shared" si="14"/>
        <v>0</v>
      </c>
      <c r="F98" s="130">
        <f t="shared" si="14"/>
        <v>0</v>
      </c>
      <c r="G98" s="130">
        <f t="shared" si="14"/>
        <v>0</v>
      </c>
      <c r="H98" s="130">
        <f t="shared" si="14"/>
        <v>0</v>
      </c>
      <c r="I98" s="130">
        <f t="shared" si="14"/>
        <v>0</v>
      </c>
      <c r="J98" s="130">
        <f t="shared" si="14"/>
        <v>0</v>
      </c>
      <c r="K98" s="130">
        <f t="shared" si="14"/>
        <v>0</v>
      </c>
      <c r="L98" s="130">
        <f t="shared" si="14"/>
        <v>0</v>
      </c>
      <c r="M98" s="130">
        <f t="shared" si="14"/>
        <v>0</v>
      </c>
      <c r="N98" s="130">
        <f t="shared" si="14"/>
        <v>0</v>
      </c>
      <c r="O98" s="130">
        <f t="shared" si="14"/>
        <v>0</v>
      </c>
      <c r="P98" s="130">
        <f>SUM(P93:P97)</f>
        <v>0</v>
      </c>
      <c r="Q98" s="130">
        <f t="shared" si="12"/>
        <v>0</v>
      </c>
      <c r="R98" s="185" t="str">
        <f t="shared" si="13"/>
        <v/>
      </c>
    </row>
    <row r="99" spans="1:19" ht="15.75" thickBot="1" x14ac:dyDescent="0.3">
      <c r="A99" s="1"/>
      <c r="B99" s="5"/>
      <c r="C99" s="133"/>
      <c r="D99" s="133"/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 t="str">
        <f t="shared" si="12"/>
        <v/>
      </c>
      <c r="R99" s="185" t="str">
        <f t="shared" si="13"/>
        <v/>
      </c>
    </row>
    <row r="100" spans="1:19" s="121" customFormat="1" x14ac:dyDescent="0.25">
      <c r="A100" s="6" t="s">
        <v>39</v>
      </c>
      <c r="B100" s="3" t="s">
        <v>40</v>
      </c>
      <c r="C100" s="130">
        <f t="shared" ref="C100:P100" si="15">SUM(C98,C90,C35)</f>
        <v>1408722</v>
      </c>
      <c r="D100" s="130">
        <f t="shared" si="15"/>
        <v>121747.55999999998</v>
      </c>
      <c r="E100" s="130">
        <f t="shared" si="15"/>
        <v>122103.09999999999</v>
      </c>
      <c r="F100" s="130">
        <f t="shared" si="15"/>
        <v>122229.3</v>
      </c>
      <c r="G100" s="130">
        <f t="shared" si="15"/>
        <v>122229.3</v>
      </c>
      <c r="H100" s="130">
        <f t="shared" si="15"/>
        <v>122556.98000000001</v>
      </c>
      <c r="I100" s="130">
        <f t="shared" si="15"/>
        <v>122556.98000000001</v>
      </c>
      <c r="J100" s="130">
        <f t="shared" si="15"/>
        <v>122556.98000000001</v>
      </c>
      <c r="K100" s="130">
        <f t="shared" si="15"/>
        <v>122587.37000000001</v>
      </c>
      <c r="L100" s="130">
        <f t="shared" si="15"/>
        <v>123134.69000000002</v>
      </c>
      <c r="M100" s="130">
        <f t="shared" si="15"/>
        <v>123209.45000000001</v>
      </c>
      <c r="N100" s="130">
        <f t="shared" si="15"/>
        <v>123209.45000000001</v>
      </c>
      <c r="O100" s="130">
        <f t="shared" si="15"/>
        <v>123209.45000000001</v>
      </c>
      <c r="P100" s="130">
        <f t="shared" si="15"/>
        <v>1471325.61</v>
      </c>
      <c r="Q100" s="130">
        <f t="shared" si="12"/>
        <v>62603.610000000102</v>
      </c>
      <c r="R100" s="185">
        <f t="shared" si="13"/>
        <v>4.4440003066609383E-2</v>
      </c>
    </row>
    <row r="101" spans="1:19" x14ac:dyDescent="0.25">
      <c r="A101" s="1"/>
      <c r="B101" s="5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  <c r="M101" s="133"/>
      <c r="N101" s="133"/>
      <c r="O101" s="133"/>
      <c r="P101" s="133"/>
      <c r="Q101" s="133" t="str">
        <f t="shared" si="12"/>
        <v/>
      </c>
      <c r="R101" s="185" t="str">
        <f t="shared" si="13"/>
        <v/>
      </c>
    </row>
    <row r="102" spans="1:19" x14ac:dyDescent="0.25">
      <c r="A102" s="1" t="s">
        <v>41</v>
      </c>
      <c r="B102" s="5" t="s">
        <v>42</v>
      </c>
      <c r="C102" s="128"/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8"/>
      <c r="O102" s="128"/>
      <c r="P102" s="128"/>
      <c r="Q102" s="128" t="str">
        <f t="shared" si="12"/>
        <v/>
      </c>
      <c r="R102" s="185" t="str">
        <f t="shared" si="13"/>
        <v/>
      </c>
    </row>
    <row r="103" spans="1:19" x14ac:dyDescent="0.25">
      <c r="A103" s="1" t="s">
        <v>43</v>
      </c>
      <c r="B103" s="5" t="s">
        <v>44</v>
      </c>
      <c r="C103" s="128"/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8"/>
      <c r="O103" s="128"/>
      <c r="P103" s="128"/>
      <c r="Q103" s="128" t="str">
        <f t="shared" si="12"/>
        <v/>
      </c>
      <c r="R103" s="185" t="str">
        <f t="shared" si="13"/>
        <v/>
      </c>
    </row>
    <row r="104" spans="1:19" x14ac:dyDescent="0.25">
      <c r="A104" s="1" t="s">
        <v>194</v>
      </c>
      <c r="B104" s="5" t="s">
        <v>193</v>
      </c>
      <c r="C104" s="129">
        <v>13031</v>
      </c>
      <c r="D104" s="129">
        <v>1070</v>
      </c>
      <c r="E104" s="129">
        <v>1070</v>
      </c>
      <c r="F104" s="129">
        <v>1070</v>
      </c>
      <c r="G104" s="129">
        <v>1070</v>
      </c>
      <c r="H104" s="129">
        <v>1070</v>
      </c>
      <c r="I104" s="129">
        <v>1070</v>
      </c>
      <c r="J104" s="129">
        <v>1070</v>
      </c>
      <c r="K104" s="129">
        <v>1070</v>
      </c>
      <c r="L104" s="129">
        <v>1070</v>
      </c>
      <c r="M104" s="129">
        <v>1070</v>
      </c>
      <c r="N104" s="129">
        <v>1070</v>
      </c>
      <c r="O104" s="129">
        <v>1070</v>
      </c>
      <c r="P104" s="128">
        <f>SUM(D104:O104)</f>
        <v>12840</v>
      </c>
      <c r="Q104" s="128">
        <f t="shared" si="12"/>
        <v>-191</v>
      </c>
      <c r="R104" s="185">
        <f t="shared" si="13"/>
        <v>-1.4657355536796869E-2</v>
      </c>
    </row>
    <row r="105" spans="1:19" x14ac:dyDescent="0.25">
      <c r="A105" s="1" t="s">
        <v>45</v>
      </c>
      <c r="B105" s="5" t="s">
        <v>46</v>
      </c>
      <c r="C105" s="129">
        <v>17245</v>
      </c>
      <c r="D105" s="129">
        <v>1800</v>
      </c>
      <c r="E105" s="129">
        <v>1800</v>
      </c>
      <c r="F105" s="129">
        <v>1800</v>
      </c>
      <c r="G105" s="129">
        <v>1800</v>
      </c>
      <c r="H105" s="129">
        <v>1800</v>
      </c>
      <c r="I105" s="129">
        <v>1800</v>
      </c>
      <c r="J105" s="129">
        <v>1800</v>
      </c>
      <c r="K105" s="129">
        <v>1800</v>
      </c>
      <c r="L105" s="129">
        <v>1800</v>
      </c>
      <c r="M105" s="129">
        <v>1800</v>
      </c>
      <c r="N105" s="129">
        <v>1800</v>
      </c>
      <c r="O105" s="129">
        <v>1800</v>
      </c>
      <c r="P105" s="128">
        <f>SUM(D105:O105)</f>
        <v>21600</v>
      </c>
      <c r="Q105" s="128">
        <f t="shared" si="12"/>
        <v>4355</v>
      </c>
      <c r="R105" s="185">
        <f t="shared" si="13"/>
        <v>0.25253696723688024</v>
      </c>
      <c r="S105" t="s">
        <v>577</v>
      </c>
    </row>
    <row r="106" spans="1:19" x14ac:dyDescent="0.25">
      <c r="A106" s="166" t="s">
        <v>504</v>
      </c>
      <c r="B106" s="5" t="s">
        <v>505</v>
      </c>
      <c r="C106" s="129"/>
      <c r="D106" s="129">
        <f>$P$106/12</f>
        <v>0</v>
      </c>
      <c r="E106" s="129">
        <f t="shared" ref="E106:O106" si="16">$P$106/12</f>
        <v>0</v>
      </c>
      <c r="F106" s="129">
        <f t="shared" si="16"/>
        <v>0</v>
      </c>
      <c r="G106" s="129">
        <f t="shared" si="16"/>
        <v>0</v>
      </c>
      <c r="H106" s="129">
        <f t="shared" si="16"/>
        <v>0</v>
      </c>
      <c r="I106" s="129">
        <f t="shared" si="16"/>
        <v>0</v>
      </c>
      <c r="J106" s="129">
        <f t="shared" si="16"/>
        <v>0</v>
      </c>
      <c r="K106" s="129">
        <f t="shared" si="16"/>
        <v>0</v>
      </c>
      <c r="L106" s="129">
        <f t="shared" si="16"/>
        <v>0</v>
      </c>
      <c r="M106" s="129">
        <f t="shared" si="16"/>
        <v>0</v>
      </c>
      <c r="N106" s="129">
        <f t="shared" si="16"/>
        <v>0</v>
      </c>
      <c r="O106" s="129">
        <f t="shared" si="16"/>
        <v>0</v>
      </c>
      <c r="P106" s="128">
        <v>0</v>
      </c>
      <c r="Q106" s="128" t="str">
        <f t="shared" si="12"/>
        <v/>
      </c>
      <c r="R106" s="185" t="str">
        <f t="shared" si="13"/>
        <v/>
      </c>
    </row>
    <row r="107" spans="1:19" x14ac:dyDescent="0.25">
      <c r="A107" s="198" t="s">
        <v>574</v>
      </c>
      <c r="B107" s="5" t="s">
        <v>575</v>
      </c>
      <c r="C107" s="129">
        <v>0</v>
      </c>
      <c r="D107" s="129">
        <v>2000</v>
      </c>
      <c r="E107" s="129">
        <v>2000</v>
      </c>
      <c r="F107" s="129">
        <v>2000</v>
      </c>
      <c r="G107" s="129">
        <v>2000</v>
      </c>
      <c r="H107" s="129">
        <v>300</v>
      </c>
      <c r="I107" s="129">
        <v>300</v>
      </c>
      <c r="J107" s="129">
        <v>300</v>
      </c>
      <c r="K107" s="129">
        <v>300</v>
      </c>
      <c r="L107" s="129">
        <v>300</v>
      </c>
      <c r="M107" s="129">
        <v>300</v>
      </c>
      <c r="N107" s="129">
        <v>300</v>
      </c>
      <c r="O107" s="129">
        <v>300</v>
      </c>
      <c r="P107" s="128">
        <f>SUM(D107:O107)</f>
        <v>10400</v>
      </c>
      <c r="Q107" s="128">
        <f t="shared" ref="Q107" si="17">IF(C107&lt;&gt;"",P107-C107,"")</f>
        <v>10400</v>
      </c>
      <c r="R107" s="185" t="str">
        <f t="shared" ref="R107" si="18">IF(C107&lt;&gt;0,Q107/C107,"")</f>
        <v/>
      </c>
    </row>
    <row r="108" spans="1:19" x14ac:dyDescent="0.25">
      <c r="A108" s="1" t="s">
        <v>47</v>
      </c>
      <c r="B108" s="5" t="s">
        <v>48</v>
      </c>
      <c r="C108" s="129">
        <v>27866</v>
      </c>
      <c r="D108" s="129">
        <f t="shared" ref="D108:O115" si="19">$P108/12</f>
        <v>2438.2750000000001</v>
      </c>
      <c r="E108" s="129">
        <f t="shared" si="19"/>
        <v>2438.2750000000001</v>
      </c>
      <c r="F108" s="129">
        <f t="shared" si="19"/>
        <v>2438.2750000000001</v>
      </c>
      <c r="G108" s="129">
        <f t="shared" si="19"/>
        <v>2438.2750000000001</v>
      </c>
      <c r="H108" s="129">
        <f t="shared" si="19"/>
        <v>2438.2750000000001</v>
      </c>
      <c r="I108" s="129">
        <f t="shared" si="19"/>
        <v>2438.2750000000001</v>
      </c>
      <c r="J108" s="129">
        <f t="shared" si="19"/>
        <v>2438.2750000000001</v>
      </c>
      <c r="K108" s="129">
        <f t="shared" si="19"/>
        <v>2438.2750000000001</v>
      </c>
      <c r="L108" s="129">
        <f t="shared" si="19"/>
        <v>2438.2750000000001</v>
      </c>
      <c r="M108" s="129">
        <f t="shared" si="19"/>
        <v>2438.2750000000001</v>
      </c>
      <c r="N108" s="129">
        <f t="shared" si="19"/>
        <v>2438.2750000000001</v>
      </c>
      <c r="O108" s="129">
        <f t="shared" si="19"/>
        <v>2438.2750000000001</v>
      </c>
      <c r="P108" s="128">
        <f>C108*1.05</f>
        <v>29259.300000000003</v>
      </c>
      <c r="Q108" s="128">
        <f t="shared" si="12"/>
        <v>1393.3000000000029</v>
      </c>
      <c r="R108" s="185">
        <f t="shared" si="13"/>
        <v>5.0000000000000107E-2</v>
      </c>
    </row>
    <row r="109" spans="1:19" x14ac:dyDescent="0.25">
      <c r="A109" s="7" t="s">
        <v>219</v>
      </c>
      <c r="B109" s="5" t="s">
        <v>434</v>
      </c>
      <c r="C109" s="129">
        <v>1522</v>
      </c>
      <c r="D109" s="129">
        <f t="shared" si="19"/>
        <v>133.17500000000001</v>
      </c>
      <c r="E109" s="129">
        <f t="shared" si="19"/>
        <v>133.17500000000001</v>
      </c>
      <c r="F109" s="129">
        <f t="shared" si="19"/>
        <v>133.17500000000001</v>
      </c>
      <c r="G109" s="129">
        <f t="shared" si="19"/>
        <v>133.17500000000001</v>
      </c>
      <c r="H109" s="129">
        <f t="shared" si="19"/>
        <v>133.17500000000001</v>
      </c>
      <c r="I109" s="129">
        <f t="shared" si="19"/>
        <v>133.17500000000001</v>
      </c>
      <c r="J109" s="129">
        <f t="shared" si="19"/>
        <v>133.17500000000001</v>
      </c>
      <c r="K109" s="129">
        <f t="shared" si="19"/>
        <v>133.17500000000001</v>
      </c>
      <c r="L109" s="129">
        <f t="shared" si="19"/>
        <v>133.17500000000001</v>
      </c>
      <c r="M109" s="129">
        <f t="shared" si="19"/>
        <v>133.17500000000001</v>
      </c>
      <c r="N109" s="129">
        <f t="shared" si="19"/>
        <v>133.17500000000001</v>
      </c>
      <c r="O109" s="129">
        <f t="shared" si="19"/>
        <v>133.17500000000001</v>
      </c>
      <c r="P109" s="128">
        <f>C109*1.05</f>
        <v>1598.1000000000001</v>
      </c>
      <c r="Q109" s="128">
        <f t="shared" si="12"/>
        <v>76.100000000000136</v>
      </c>
      <c r="R109" s="185">
        <f t="shared" si="13"/>
        <v>5.0000000000000093E-2</v>
      </c>
    </row>
    <row r="110" spans="1:19" x14ac:dyDescent="0.25">
      <c r="A110" s="123" t="s">
        <v>221</v>
      </c>
      <c r="B110" s="5" t="s">
        <v>469</v>
      </c>
      <c r="C110" s="129"/>
      <c r="D110" s="129">
        <v>0</v>
      </c>
      <c r="E110" s="129">
        <v>0</v>
      </c>
      <c r="F110" s="129">
        <v>0</v>
      </c>
      <c r="G110" s="129">
        <v>0</v>
      </c>
      <c r="H110" s="129">
        <v>0</v>
      </c>
      <c r="I110" s="129">
        <v>2000</v>
      </c>
      <c r="J110" s="129">
        <v>0</v>
      </c>
      <c r="K110" s="129">
        <v>0</v>
      </c>
      <c r="L110" s="129">
        <v>0</v>
      </c>
      <c r="M110" s="129">
        <v>150</v>
      </c>
      <c r="N110" s="129">
        <v>0</v>
      </c>
      <c r="O110" s="129">
        <v>0</v>
      </c>
      <c r="P110" s="128">
        <f t="shared" ref="P110:P117" si="20">C110*1.05</f>
        <v>0</v>
      </c>
      <c r="Q110" s="128" t="str">
        <f t="shared" si="12"/>
        <v/>
      </c>
      <c r="R110" s="185" t="str">
        <f t="shared" si="13"/>
        <v/>
      </c>
    </row>
    <row r="111" spans="1:19" x14ac:dyDescent="0.25">
      <c r="A111" s="1" t="s">
        <v>223</v>
      </c>
      <c r="B111" s="5" t="s">
        <v>383</v>
      </c>
      <c r="C111" s="129">
        <v>20704</v>
      </c>
      <c r="D111" s="129">
        <v>1800</v>
      </c>
      <c r="E111" s="129">
        <v>1800</v>
      </c>
      <c r="F111" s="129">
        <v>1800</v>
      </c>
      <c r="G111" s="217">
        <f>1800+10000</f>
        <v>11800</v>
      </c>
      <c r="H111" s="217">
        <f>1800+10000</f>
        <v>11800</v>
      </c>
      <c r="I111" s="129">
        <v>1800</v>
      </c>
      <c r="J111" s="129">
        <v>1800</v>
      </c>
      <c r="K111" s="129">
        <v>1800</v>
      </c>
      <c r="L111" s="129">
        <v>1800</v>
      </c>
      <c r="M111" s="129">
        <v>1800</v>
      </c>
      <c r="N111" s="129">
        <v>1800</v>
      </c>
      <c r="O111" s="129">
        <v>1800</v>
      </c>
      <c r="P111" s="128">
        <f>SUM(D111:O111)</f>
        <v>41600</v>
      </c>
      <c r="Q111" s="128">
        <f t="shared" si="12"/>
        <v>20896</v>
      </c>
      <c r="R111" s="185">
        <f t="shared" si="13"/>
        <v>1.009273570324575</v>
      </c>
      <c r="S111" t="s">
        <v>576</v>
      </c>
    </row>
    <row r="112" spans="1:19" x14ac:dyDescent="0.25">
      <c r="A112" s="188" t="s">
        <v>571</v>
      </c>
      <c r="B112" s="5" t="s">
        <v>572</v>
      </c>
      <c r="C112" s="129">
        <v>6089</v>
      </c>
      <c r="D112" s="129">
        <v>410.17</v>
      </c>
      <c r="E112" s="129">
        <v>410.17</v>
      </c>
      <c r="F112" s="129">
        <v>410.17</v>
      </c>
      <c r="G112" s="129">
        <v>410.17</v>
      </c>
      <c r="H112" s="129">
        <v>410.17</v>
      </c>
      <c r="I112" s="129">
        <v>410.17</v>
      </c>
      <c r="J112" s="129">
        <v>410.17</v>
      </c>
      <c r="K112" s="129">
        <v>410.17</v>
      </c>
      <c r="L112" s="129">
        <v>410.17</v>
      </c>
      <c r="M112" s="129">
        <v>410.17</v>
      </c>
      <c r="N112" s="129">
        <v>410.17</v>
      </c>
      <c r="O112" s="129">
        <v>410.17</v>
      </c>
      <c r="P112" s="128">
        <f>SUM(D112:O112)</f>
        <v>4922.04</v>
      </c>
      <c r="Q112" s="128">
        <f t="shared" si="12"/>
        <v>-1166.96</v>
      </c>
      <c r="R112" s="185">
        <f t="shared" si="13"/>
        <v>-0.19165051732632618</v>
      </c>
      <c r="S112" t="s">
        <v>573</v>
      </c>
    </row>
    <row r="113" spans="1:25" x14ac:dyDescent="0.25">
      <c r="A113" s="1" t="s">
        <v>49</v>
      </c>
      <c r="B113" s="5" t="s">
        <v>50</v>
      </c>
      <c r="C113" s="129">
        <v>22811</v>
      </c>
      <c r="D113" s="129">
        <v>1916</v>
      </c>
      <c r="E113" s="129">
        <v>1916</v>
      </c>
      <c r="F113" s="129">
        <v>1916</v>
      </c>
      <c r="G113" s="129">
        <v>1916</v>
      </c>
      <c r="H113" s="129">
        <v>1916</v>
      </c>
      <c r="I113" s="129">
        <v>1916</v>
      </c>
      <c r="J113" s="129">
        <v>1916</v>
      </c>
      <c r="K113" s="129">
        <v>1916</v>
      </c>
      <c r="L113" s="129">
        <v>1916</v>
      </c>
      <c r="M113" s="129">
        <v>1916</v>
      </c>
      <c r="N113" s="129">
        <v>2250</v>
      </c>
      <c r="O113" s="129">
        <v>2250</v>
      </c>
      <c r="P113" s="128">
        <f t="shared" si="20"/>
        <v>23951.55</v>
      </c>
      <c r="Q113" s="128">
        <f t="shared" si="12"/>
        <v>1140.5499999999993</v>
      </c>
      <c r="R113" s="185">
        <f t="shared" si="13"/>
        <v>4.9999999999999968E-2</v>
      </c>
    </row>
    <row r="114" spans="1:25" x14ac:dyDescent="0.25">
      <c r="A114" s="143" t="s">
        <v>226</v>
      </c>
      <c r="B114" s="5" t="s">
        <v>491</v>
      </c>
      <c r="C114" s="129">
        <v>29607</v>
      </c>
      <c r="D114" s="129">
        <v>1023</v>
      </c>
      <c r="E114" s="129">
        <v>1023</v>
      </c>
      <c r="F114" s="129">
        <v>1023</v>
      </c>
      <c r="G114" s="129">
        <v>1023</v>
      </c>
      <c r="H114" s="129">
        <v>1023</v>
      </c>
      <c r="I114" s="129">
        <v>1023</v>
      </c>
      <c r="J114" s="129">
        <v>1023</v>
      </c>
      <c r="K114" s="129">
        <v>1023</v>
      </c>
      <c r="L114" s="129">
        <v>1023</v>
      </c>
      <c r="M114" s="129">
        <v>1023</v>
      </c>
      <c r="N114" s="129">
        <v>1023</v>
      </c>
      <c r="O114" s="129">
        <v>1023</v>
      </c>
      <c r="P114" s="128">
        <f t="shared" si="20"/>
        <v>31087.350000000002</v>
      </c>
      <c r="Q114" s="128">
        <f t="shared" si="12"/>
        <v>1480.3500000000022</v>
      </c>
      <c r="R114" s="185">
        <f t="shared" si="13"/>
        <v>5.0000000000000072E-2</v>
      </c>
    </row>
    <row r="115" spans="1:25" x14ac:dyDescent="0.25">
      <c r="A115" s="1" t="s">
        <v>192</v>
      </c>
      <c r="B115" s="5" t="s">
        <v>191</v>
      </c>
      <c r="C115" s="129"/>
      <c r="D115" s="129">
        <f t="shared" si="19"/>
        <v>0</v>
      </c>
      <c r="E115" s="129">
        <f t="shared" si="19"/>
        <v>0</v>
      </c>
      <c r="F115" s="129">
        <f t="shared" si="19"/>
        <v>0</v>
      </c>
      <c r="G115" s="129">
        <f t="shared" si="19"/>
        <v>0</v>
      </c>
      <c r="H115" s="129">
        <f t="shared" si="19"/>
        <v>0</v>
      </c>
      <c r="I115" s="129">
        <f t="shared" si="19"/>
        <v>0</v>
      </c>
      <c r="J115" s="129">
        <f t="shared" si="19"/>
        <v>0</v>
      </c>
      <c r="K115" s="129">
        <f t="shared" si="19"/>
        <v>0</v>
      </c>
      <c r="L115" s="129">
        <f t="shared" si="19"/>
        <v>0</v>
      </c>
      <c r="M115" s="129">
        <f t="shared" si="19"/>
        <v>0</v>
      </c>
      <c r="N115" s="129">
        <f t="shared" si="19"/>
        <v>0</v>
      </c>
      <c r="O115" s="129">
        <f t="shared" si="19"/>
        <v>0</v>
      </c>
      <c r="P115" s="128">
        <f t="shared" si="20"/>
        <v>0</v>
      </c>
      <c r="Q115" s="128" t="str">
        <f t="shared" si="12"/>
        <v/>
      </c>
      <c r="R115" s="185" t="str">
        <f t="shared" si="13"/>
        <v/>
      </c>
    </row>
    <row r="116" spans="1:25" x14ac:dyDescent="0.25">
      <c r="A116" s="1" t="s">
        <v>51</v>
      </c>
      <c r="B116" s="5" t="s">
        <v>52</v>
      </c>
      <c r="C116" s="129">
        <v>4150</v>
      </c>
      <c r="D116" s="129">
        <v>100</v>
      </c>
      <c r="E116" s="129">
        <v>0</v>
      </c>
      <c r="F116" s="129">
        <v>0</v>
      </c>
      <c r="G116" s="129">
        <v>1620</v>
      </c>
      <c r="H116" s="129">
        <v>240</v>
      </c>
      <c r="I116" s="129">
        <v>0</v>
      </c>
      <c r="J116" s="129">
        <v>100</v>
      </c>
      <c r="K116" s="129">
        <v>240</v>
      </c>
      <c r="L116" s="129">
        <v>0</v>
      </c>
      <c r="M116" s="129">
        <v>100</v>
      </c>
      <c r="N116" s="129">
        <v>0</v>
      </c>
      <c r="O116" s="129">
        <v>1100</v>
      </c>
      <c r="P116" s="128">
        <f>SUM(D116:O116)</f>
        <v>3500</v>
      </c>
      <c r="Q116" s="128">
        <f t="shared" si="12"/>
        <v>-650</v>
      </c>
      <c r="R116" s="185">
        <f t="shared" si="13"/>
        <v>-0.15662650602409639</v>
      </c>
      <c r="S116" s="167" t="s">
        <v>578</v>
      </c>
    </row>
    <row r="117" spans="1:25" x14ac:dyDescent="0.25">
      <c r="A117" s="1" t="s">
        <v>53</v>
      </c>
      <c r="B117" s="5" t="s">
        <v>54</v>
      </c>
      <c r="C117" s="129">
        <v>39500</v>
      </c>
      <c r="D117" s="129">
        <v>0</v>
      </c>
      <c r="E117" s="129">
        <v>0</v>
      </c>
      <c r="F117" s="129">
        <f>9535.72*1.05</f>
        <v>10012.505999999999</v>
      </c>
      <c r="G117" s="129">
        <v>0</v>
      </c>
      <c r="H117" s="129">
        <v>0</v>
      </c>
      <c r="I117" s="129">
        <f>13207.23*1.05</f>
        <v>13867.5915</v>
      </c>
      <c r="J117" s="129">
        <v>0</v>
      </c>
      <c r="K117" s="129">
        <f>9535.72*1.05</f>
        <v>10012.505999999999</v>
      </c>
      <c r="L117" s="129">
        <v>0</v>
      </c>
      <c r="M117" s="129">
        <v>0</v>
      </c>
      <c r="N117" s="129">
        <f>K117</f>
        <v>10012.505999999999</v>
      </c>
      <c r="O117" s="129">
        <v>0</v>
      </c>
      <c r="P117" s="128">
        <f t="shared" si="20"/>
        <v>41475</v>
      </c>
      <c r="Q117" s="128">
        <f t="shared" si="12"/>
        <v>1975</v>
      </c>
      <c r="R117" s="185">
        <f t="shared" si="13"/>
        <v>0.05</v>
      </c>
      <c r="S117" t="s">
        <v>569</v>
      </c>
    </row>
    <row r="118" spans="1:25" x14ac:dyDescent="0.25">
      <c r="A118" s="1" t="s">
        <v>55</v>
      </c>
      <c r="B118" s="5" t="s">
        <v>56</v>
      </c>
      <c r="C118" s="129">
        <v>8951</v>
      </c>
      <c r="D118" s="129">
        <f t="shared" ref="D118:O118" si="21">$P118/12</f>
        <v>2220</v>
      </c>
      <c r="E118" s="129">
        <f t="shared" si="21"/>
        <v>2220</v>
      </c>
      <c r="F118" s="129">
        <f t="shared" si="21"/>
        <v>2220</v>
      </c>
      <c r="G118" s="129">
        <f t="shared" si="21"/>
        <v>2220</v>
      </c>
      <c r="H118" s="129">
        <f t="shared" si="21"/>
        <v>2220</v>
      </c>
      <c r="I118" s="129">
        <f t="shared" si="21"/>
        <v>2220</v>
      </c>
      <c r="J118" s="129">
        <f t="shared" si="21"/>
        <v>2220</v>
      </c>
      <c r="K118" s="129">
        <f t="shared" si="21"/>
        <v>2220</v>
      </c>
      <c r="L118" s="129">
        <f t="shared" si="21"/>
        <v>2220</v>
      </c>
      <c r="M118" s="129">
        <f t="shared" si="21"/>
        <v>2220</v>
      </c>
      <c r="N118" s="129">
        <f t="shared" si="21"/>
        <v>2220</v>
      </c>
      <c r="O118" s="129">
        <f t="shared" si="21"/>
        <v>2220</v>
      </c>
      <c r="P118" s="203">
        <f>29600-P131</f>
        <v>26640</v>
      </c>
      <c r="Q118" s="128">
        <f t="shared" si="12"/>
        <v>17689</v>
      </c>
      <c r="R118" s="185">
        <f t="shared" si="13"/>
        <v>1.9762037761144007</v>
      </c>
    </row>
    <row r="119" spans="1:25" x14ac:dyDescent="0.25">
      <c r="A119" s="1" t="s">
        <v>57</v>
      </c>
      <c r="B119" s="5" t="s">
        <v>58</v>
      </c>
      <c r="C119" s="129">
        <v>37900</v>
      </c>
      <c r="D119" s="129">
        <f>$P$119/12</f>
        <v>3823.2999999999997</v>
      </c>
      <c r="E119" s="129">
        <f t="shared" ref="E119:O119" si="22">$P$119/12</f>
        <v>3823.2999999999997</v>
      </c>
      <c r="F119" s="129">
        <f t="shared" si="22"/>
        <v>3823.2999999999997</v>
      </c>
      <c r="G119" s="129">
        <f t="shared" si="22"/>
        <v>3823.2999999999997</v>
      </c>
      <c r="H119" s="129">
        <f t="shared" si="22"/>
        <v>3823.2999999999997</v>
      </c>
      <c r="I119" s="129">
        <f t="shared" si="22"/>
        <v>3823.2999999999997</v>
      </c>
      <c r="J119" s="129">
        <f t="shared" si="22"/>
        <v>3823.2999999999997</v>
      </c>
      <c r="K119" s="129">
        <f t="shared" si="22"/>
        <v>3823.2999999999997</v>
      </c>
      <c r="L119" s="129">
        <f t="shared" si="22"/>
        <v>3823.2999999999997</v>
      </c>
      <c r="M119" s="129">
        <f t="shared" si="22"/>
        <v>3823.2999999999997</v>
      </c>
      <c r="N119" s="129">
        <f t="shared" si="22"/>
        <v>3823.2999999999997</v>
      </c>
      <c r="O119" s="129">
        <f t="shared" si="22"/>
        <v>3823.2999999999997</v>
      </c>
      <c r="P119" s="128">
        <v>45879.6</v>
      </c>
      <c r="Q119" s="128">
        <f t="shared" si="12"/>
        <v>7979.5999999999985</v>
      </c>
      <c r="R119" s="185">
        <f t="shared" si="13"/>
        <v>0.21054353562005274</v>
      </c>
      <c r="S119" t="s">
        <v>570</v>
      </c>
    </row>
    <row r="120" spans="1:25" ht="15.75" thickBot="1" x14ac:dyDescent="0.3">
      <c r="A120" s="1" t="s">
        <v>231</v>
      </c>
      <c r="B120" s="5" t="s">
        <v>382</v>
      </c>
      <c r="C120" s="129">
        <v>83216</v>
      </c>
      <c r="D120" s="129">
        <f>D100*5%</f>
        <v>6087.3779999999997</v>
      </c>
      <c r="E120" s="129">
        <f t="shared" ref="E120:O120" si="23">E100*5%</f>
        <v>6105.1549999999997</v>
      </c>
      <c r="F120" s="129">
        <f t="shared" si="23"/>
        <v>6111.4650000000001</v>
      </c>
      <c r="G120" s="129">
        <f t="shared" si="23"/>
        <v>6111.4650000000001</v>
      </c>
      <c r="H120" s="129">
        <f t="shared" si="23"/>
        <v>6127.8490000000011</v>
      </c>
      <c r="I120" s="129">
        <f t="shared" si="23"/>
        <v>6127.8490000000011</v>
      </c>
      <c r="J120" s="129">
        <f t="shared" si="23"/>
        <v>6127.8490000000011</v>
      </c>
      <c r="K120" s="129">
        <f t="shared" si="23"/>
        <v>6129.3685000000005</v>
      </c>
      <c r="L120" s="129">
        <f t="shared" si="23"/>
        <v>6156.7345000000014</v>
      </c>
      <c r="M120" s="129">
        <f t="shared" si="23"/>
        <v>6160.4725000000008</v>
      </c>
      <c r="N120" s="129">
        <f t="shared" si="23"/>
        <v>6160.4725000000008</v>
      </c>
      <c r="O120" s="129">
        <f t="shared" si="23"/>
        <v>6160.4725000000008</v>
      </c>
      <c r="P120" s="128">
        <f>SUM(D120:O120)</f>
        <v>73566.530500000008</v>
      </c>
      <c r="Q120" s="128">
        <f t="shared" si="12"/>
        <v>-9649.469499999992</v>
      </c>
      <c r="R120" s="185">
        <f t="shared" si="13"/>
        <v>-0.11595690131705431</v>
      </c>
      <c r="Y120" s="168"/>
    </row>
    <row r="121" spans="1:25" x14ac:dyDescent="0.25">
      <c r="A121" s="1" t="s">
        <v>59</v>
      </c>
      <c r="B121" s="5" t="s">
        <v>60</v>
      </c>
      <c r="C121" s="130">
        <f>ROUND(SUM(C104:C120),0)</f>
        <v>312592</v>
      </c>
      <c r="D121" s="130">
        <f>ROUND(SUM(D104:D120),0)</f>
        <v>24821</v>
      </c>
      <c r="E121" s="130">
        <f t="shared" ref="E121:O121" si="24">ROUND(SUM(E104:E120),0)</f>
        <v>24739</v>
      </c>
      <c r="F121" s="130">
        <f t="shared" si="24"/>
        <v>34758</v>
      </c>
      <c r="G121" s="130">
        <f t="shared" si="24"/>
        <v>36365</v>
      </c>
      <c r="H121" s="130">
        <f t="shared" si="24"/>
        <v>33302</v>
      </c>
      <c r="I121" s="130">
        <f t="shared" si="24"/>
        <v>38929</v>
      </c>
      <c r="J121" s="130">
        <f t="shared" si="24"/>
        <v>23162</v>
      </c>
      <c r="K121" s="130">
        <f t="shared" si="24"/>
        <v>33316</v>
      </c>
      <c r="L121" s="130">
        <f t="shared" si="24"/>
        <v>23091</v>
      </c>
      <c r="M121" s="130">
        <f t="shared" si="24"/>
        <v>23344</v>
      </c>
      <c r="N121" s="130">
        <f t="shared" si="24"/>
        <v>33441</v>
      </c>
      <c r="O121" s="130">
        <f t="shared" si="24"/>
        <v>24528</v>
      </c>
      <c r="P121" s="130">
        <f>ROUND(SUM(P104:P120),0)</f>
        <v>368319</v>
      </c>
      <c r="Q121" s="130">
        <f t="shared" si="12"/>
        <v>55727</v>
      </c>
      <c r="R121" s="185">
        <f t="shared" si="13"/>
        <v>0.17827391615908278</v>
      </c>
    </row>
    <row r="122" spans="1:25" x14ac:dyDescent="0.25">
      <c r="A122" s="1"/>
      <c r="B122" s="5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5"/>
      <c r="Q122" s="135" t="str">
        <f t="shared" si="12"/>
        <v/>
      </c>
      <c r="R122" s="185" t="str">
        <f t="shared" si="13"/>
        <v/>
      </c>
    </row>
    <row r="123" spans="1:25" x14ac:dyDescent="0.25">
      <c r="A123" s="1" t="s">
        <v>61</v>
      </c>
      <c r="B123" s="5" t="s">
        <v>62</v>
      </c>
      <c r="C123" s="128"/>
      <c r="D123" s="128"/>
      <c r="E123" s="128"/>
      <c r="F123" s="128"/>
      <c r="G123" s="128"/>
      <c r="H123" s="128"/>
      <c r="I123" s="128"/>
      <c r="J123" s="128"/>
      <c r="K123" s="128"/>
      <c r="L123" s="128"/>
      <c r="M123" s="128"/>
      <c r="N123" s="128"/>
      <c r="O123" s="128"/>
      <c r="P123" s="128"/>
      <c r="Q123" s="128" t="str">
        <f t="shared" si="12"/>
        <v/>
      </c>
      <c r="R123" s="185" t="str">
        <f t="shared" si="13"/>
        <v/>
      </c>
    </row>
    <row r="124" spans="1:25" x14ac:dyDescent="0.25">
      <c r="A124" s="1" t="s">
        <v>63</v>
      </c>
      <c r="B124" s="5" t="s">
        <v>64</v>
      </c>
      <c r="C124" s="129">
        <f>O$124/12</f>
        <v>0</v>
      </c>
      <c r="D124" s="129">
        <f>P$124/12</f>
        <v>0</v>
      </c>
      <c r="E124" s="129">
        <f t="shared" ref="E124:O127" si="25">$P124/12</f>
        <v>0</v>
      </c>
      <c r="F124" s="129">
        <f t="shared" si="25"/>
        <v>0</v>
      </c>
      <c r="G124" s="129">
        <f t="shared" si="25"/>
        <v>0</v>
      </c>
      <c r="H124" s="129">
        <f t="shared" si="25"/>
        <v>0</v>
      </c>
      <c r="I124" s="129">
        <f t="shared" si="25"/>
        <v>0</v>
      </c>
      <c r="J124" s="129">
        <f t="shared" si="25"/>
        <v>0</v>
      </c>
      <c r="K124" s="129">
        <f t="shared" si="25"/>
        <v>0</v>
      </c>
      <c r="L124" s="129">
        <f t="shared" si="25"/>
        <v>0</v>
      </c>
      <c r="M124" s="129">
        <f t="shared" si="25"/>
        <v>0</v>
      </c>
      <c r="N124" s="129">
        <f t="shared" si="25"/>
        <v>0</v>
      </c>
      <c r="O124" s="129">
        <f t="shared" si="25"/>
        <v>0</v>
      </c>
      <c r="P124" s="128">
        <v>0</v>
      </c>
      <c r="Q124" s="128">
        <f t="shared" si="12"/>
        <v>0</v>
      </c>
      <c r="R124" s="185" t="str">
        <f t="shared" si="13"/>
        <v/>
      </c>
    </row>
    <row r="125" spans="1:25" x14ac:dyDescent="0.25">
      <c r="A125" s="1" t="s">
        <v>65</v>
      </c>
      <c r="B125" s="5" t="s">
        <v>66</v>
      </c>
      <c r="C125" s="129">
        <f t="shared" ref="C125:D127" si="26">$P125/12</f>
        <v>0</v>
      </c>
      <c r="D125" s="129">
        <f t="shared" si="26"/>
        <v>0</v>
      </c>
      <c r="E125" s="129">
        <f t="shared" si="25"/>
        <v>0</v>
      </c>
      <c r="F125" s="129">
        <f t="shared" si="25"/>
        <v>0</v>
      </c>
      <c r="G125" s="129">
        <f t="shared" si="25"/>
        <v>0</v>
      </c>
      <c r="H125" s="129">
        <f t="shared" si="25"/>
        <v>0</v>
      </c>
      <c r="I125" s="129">
        <f t="shared" si="25"/>
        <v>0</v>
      </c>
      <c r="J125" s="129">
        <f t="shared" si="25"/>
        <v>0</v>
      </c>
      <c r="K125" s="129">
        <f t="shared" si="25"/>
        <v>0</v>
      </c>
      <c r="L125" s="129">
        <f t="shared" si="25"/>
        <v>0</v>
      </c>
      <c r="M125" s="129">
        <f t="shared" si="25"/>
        <v>0</v>
      </c>
      <c r="N125" s="129">
        <f t="shared" si="25"/>
        <v>0</v>
      </c>
      <c r="O125" s="129">
        <f t="shared" si="25"/>
        <v>0</v>
      </c>
      <c r="P125" s="128">
        <f>_xlfn.IFNA(VLOOKUP(A125,'Op Budget 2016'!$C$15:$Q$53,15,FALSE),)</f>
        <v>0</v>
      </c>
      <c r="Q125" s="128">
        <f t="shared" si="12"/>
        <v>0</v>
      </c>
      <c r="R125" s="185" t="str">
        <f t="shared" si="13"/>
        <v/>
      </c>
    </row>
    <row r="126" spans="1:25" x14ac:dyDescent="0.25">
      <c r="A126" s="1" t="s">
        <v>67</v>
      </c>
      <c r="B126" s="5" t="s">
        <v>68</v>
      </c>
      <c r="C126" s="129">
        <f t="shared" si="26"/>
        <v>0</v>
      </c>
      <c r="D126" s="129">
        <f t="shared" si="26"/>
        <v>0</v>
      </c>
      <c r="E126" s="129">
        <f t="shared" si="25"/>
        <v>0</v>
      </c>
      <c r="F126" s="129">
        <f t="shared" si="25"/>
        <v>0</v>
      </c>
      <c r="G126" s="129">
        <f t="shared" si="25"/>
        <v>0</v>
      </c>
      <c r="H126" s="129">
        <f t="shared" si="25"/>
        <v>0</v>
      </c>
      <c r="I126" s="129">
        <f t="shared" si="25"/>
        <v>0</v>
      </c>
      <c r="J126" s="129">
        <f t="shared" si="25"/>
        <v>0</v>
      </c>
      <c r="K126" s="129">
        <f t="shared" si="25"/>
        <v>0</v>
      </c>
      <c r="L126" s="129">
        <f t="shared" si="25"/>
        <v>0</v>
      </c>
      <c r="M126" s="129">
        <f t="shared" si="25"/>
        <v>0</v>
      </c>
      <c r="N126" s="129">
        <f t="shared" si="25"/>
        <v>0</v>
      </c>
      <c r="O126" s="129">
        <f t="shared" si="25"/>
        <v>0</v>
      </c>
      <c r="P126" s="128">
        <f>_xlfn.IFNA(VLOOKUP(A126,'Op Budget 2016'!$C$15:$Q$53,15,FALSE),)</f>
        <v>0</v>
      </c>
      <c r="Q126" s="128">
        <f t="shared" si="12"/>
        <v>0</v>
      </c>
      <c r="R126" s="185" t="str">
        <f t="shared" si="13"/>
        <v/>
      </c>
    </row>
    <row r="127" spans="1:25" x14ac:dyDescent="0.25">
      <c r="A127" s="1" t="s">
        <v>69</v>
      </c>
      <c r="B127" s="5" t="s">
        <v>70</v>
      </c>
      <c r="C127" s="129">
        <f t="shared" si="26"/>
        <v>0</v>
      </c>
      <c r="D127" s="129">
        <f t="shared" si="26"/>
        <v>0</v>
      </c>
      <c r="E127" s="129">
        <f t="shared" si="25"/>
        <v>0</v>
      </c>
      <c r="F127" s="129">
        <f t="shared" si="25"/>
        <v>0</v>
      </c>
      <c r="G127" s="129">
        <f t="shared" si="25"/>
        <v>0</v>
      </c>
      <c r="H127" s="129">
        <f t="shared" si="25"/>
        <v>0</v>
      </c>
      <c r="I127" s="129">
        <f t="shared" si="25"/>
        <v>0</v>
      </c>
      <c r="J127" s="129">
        <f t="shared" si="25"/>
        <v>0</v>
      </c>
      <c r="K127" s="129">
        <f t="shared" si="25"/>
        <v>0</v>
      </c>
      <c r="L127" s="129">
        <f t="shared" si="25"/>
        <v>0</v>
      </c>
      <c r="M127" s="129">
        <f t="shared" si="25"/>
        <v>0</v>
      </c>
      <c r="N127" s="129">
        <f t="shared" si="25"/>
        <v>0</v>
      </c>
      <c r="O127" s="129">
        <f t="shared" si="25"/>
        <v>0</v>
      </c>
      <c r="P127" s="128">
        <f>_xlfn.IFNA(VLOOKUP(A127,'Op Budget 2016'!$C$15:$Q$53,15,FALSE),)</f>
        <v>0</v>
      </c>
      <c r="Q127" s="128">
        <f t="shared" si="12"/>
        <v>0</v>
      </c>
      <c r="R127" s="185" t="str">
        <f t="shared" si="13"/>
        <v/>
      </c>
    </row>
    <row r="128" spans="1:25" x14ac:dyDescent="0.25">
      <c r="A128" s="1" t="s">
        <v>71</v>
      </c>
      <c r="B128" s="5" t="s">
        <v>72</v>
      </c>
      <c r="C128" s="129">
        <v>274432</v>
      </c>
      <c r="D128" s="129">
        <v>79346.25</v>
      </c>
      <c r="E128" s="129">
        <v>0</v>
      </c>
      <c r="F128" s="129">
        <v>0</v>
      </c>
      <c r="G128" s="129">
        <v>79346.25</v>
      </c>
      <c r="H128" s="129">
        <v>0</v>
      </c>
      <c r="I128" s="129">
        <v>0</v>
      </c>
      <c r="J128" s="129">
        <v>79346.25</v>
      </c>
      <c r="K128" s="129">
        <v>0</v>
      </c>
      <c r="L128" s="129">
        <v>0</v>
      </c>
      <c r="M128" s="129">
        <v>79346.25</v>
      </c>
      <c r="N128" s="129">
        <v>0</v>
      </c>
      <c r="O128" s="129">
        <v>0</v>
      </c>
      <c r="P128" s="128">
        <f>SUM(D128:O128)</f>
        <v>317385</v>
      </c>
      <c r="Q128" s="128">
        <f t="shared" si="12"/>
        <v>42953</v>
      </c>
      <c r="R128" s="185">
        <f t="shared" si="13"/>
        <v>0.15651600396455223</v>
      </c>
    </row>
    <row r="129" spans="1:24" x14ac:dyDescent="0.25">
      <c r="A129" s="1" t="s">
        <v>73</v>
      </c>
      <c r="B129" s="5" t="s">
        <v>74</v>
      </c>
      <c r="C129" s="129">
        <v>30040</v>
      </c>
      <c r="D129" s="129">
        <v>0</v>
      </c>
      <c r="E129" s="129">
        <v>0</v>
      </c>
      <c r="F129" s="129">
        <v>0</v>
      </c>
      <c r="G129" s="129">
        <v>0</v>
      </c>
      <c r="H129" s="129">
        <v>300</v>
      </c>
      <c r="I129" s="129">
        <v>12000</v>
      </c>
      <c r="J129" s="129">
        <v>0</v>
      </c>
      <c r="K129" s="129">
        <v>0</v>
      </c>
      <c r="L129" s="129">
        <v>0</v>
      </c>
      <c r="M129" s="129">
        <v>0</v>
      </c>
      <c r="N129" s="129">
        <v>0</v>
      </c>
      <c r="O129" s="129">
        <v>0</v>
      </c>
      <c r="P129" s="128">
        <f>SUM(D129:O129)</f>
        <v>12300</v>
      </c>
      <c r="Q129" s="128">
        <f t="shared" si="12"/>
        <v>-17740</v>
      </c>
      <c r="R129" s="185">
        <f t="shared" si="13"/>
        <v>-0.5905459387483355</v>
      </c>
      <c r="S129" t="s">
        <v>507</v>
      </c>
    </row>
    <row r="130" spans="1:24" x14ac:dyDescent="0.25">
      <c r="A130" s="1" t="s">
        <v>75</v>
      </c>
      <c r="B130" s="5" t="s">
        <v>76</v>
      </c>
      <c r="C130" s="129">
        <v>0</v>
      </c>
      <c r="D130" s="129">
        <v>0</v>
      </c>
      <c r="E130" s="129">
        <v>0</v>
      </c>
      <c r="F130" s="129">
        <f>P130/2</f>
        <v>250</v>
      </c>
      <c r="G130" s="129">
        <v>0</v>
      </c>
      <c r="H130" s="129">
        <v>0</v>
      </c>
      <c r="I130" s="129">
        <v>0</v>
      </c>
      <c r="J130" s="129">
        <v>0</v>
      </c>
      <c r="K130" s="129">
        <v>0</v>
      </c>
      <c r="L130" s="129">
        <f>P130/2</f>
        <v>250</v>
      </c>
      <c r="M130" s="129">
        <v>0</v>
      </c>
      <c r="N130" s="129">
        <v>0</v>
      </c>
      <c r="O130" s="129">
        <v>0</v>
      </c>
      <c r="P130" s="128">
        <v>500</v>
      </c>
      <c r="Q130" s="128">
        <f t="shared" si="12"/>
        <v>500</v>
      </c>
      <c r="R130" s="185" t="str">
        <f t="shared" si="13"/>
        <v/>
      </c>
    </row>
    <row r="131" spans="1:24" x14ac:dyDescent="0.25">
      <c r="A131" s="1" t="s">
        <v>190</v>
      </c>
      <c r="B131" s="5" t="s">
        <v>189</v>
      </c>
      <c r="C131" s="129">
        <v>0</v>
      </c>
      <c r="D131" s="129">
        <f t="shared" ref="C131:O139" si="27">$P131/12</f>
        <v>246.66666666666666</v>
      </c>
      <c r="E131" s="129">
        <f t="shared" si="27"/>
        <v>246.66666666666666</v>
      </c>
      <c r="F131" s="129">
        <f t="shared" si="27"/>
        <v>246.66666666666666</v>
      </c>
      <c r="G131" s="129">
        <f t="shared" si="27"/>
        <v>246.66666666666666</v>
      </c>
      <c r="H131" s="129">
        <f t="shared" si="27"/>
        <v>246.66666666666666</v>
      </c>
      <c r="I131" s="129">
        <f t="shared" si="27"/>
        <v>246.66666666666666</v>
      </c>
      <c r="J131" s="129">
        <f t="shared" si="27"/>
        <v>246.66666666666666</v>
      </c>
      <c r="K131" s="129">
        <f t="shared" si="27"/>
        <v>246.66666666666666</v>
      </c>
      <c r="L131" s="129">
        <f t="shared" si="27"/>
        <v>246.66666666666666</v>
      </c>
      <c r="M131" s="129">
        <f t="shared" si="27"/>
        <v>246.66666666666666</v>
      </c>
      <c r="N131" s="129">
        <f t="shared" si="27"/>
        <v>246.66666666666666</v>
      </c>
      <c r="O131" s="129">
        <f t="shared" si="27"/>
        <v>246.66666666666666</v>
      </c>
      <c r="P131" s="203">
        <v>2960</v>
      </c>
      <c r="Q131" s="128">
        <f t="shared" si="12"/>
        <v>2960</v>
      </c>
      <c r="R131" s="185" t="str">
        <f t="shared" si="13"/>
        <v/>
      </c>
      <c r="S131" t="s">
        <v>579</v>
      </c>
    </row>
    <row r="132" spans="1:24" x14ac:dyDescent="0.25">
      <c r="A132" s="1" t="s">
        <v>77</v>
      </c>
      <c r="B132" s="5" t="s">
        <v>78</v>
      </c>
      <c r="C132" s="129">
        <f t="shared" si="27"/>
        <v>0</v>
      </c>
      <c r="D132" s="129">
        <f t="shared" si="27"/>
        <v>0</v>
      </c>
      <c r="E132" s="129">
        <f t="shared" si="27"/>
        <v>0</v>
      </c>
      <c r="F132" s="129">
        <f t="shared" si="27"/>
        <v>0</v>
      </c>
      <c r="G132" s="129">
        <f t="shared" si="27"/>
        <v>0</v>
      </c>
      <c r="H132" s="129">
        <f t="shared" si="27"/>
        <v>0</v>
      </c>
      <c r="I132" s="129">
        <f t="shared" si="27"/>
        <v>0</v>
      </c>
      <c r="J132" s="129">
        <f t="shared" si="27"/>
        <v>0</v>
      </c>
      <c r="K132" s="129">
        <f t="shared" si="27"/>
        <v>0</v>
      </c>
      <c r="L132" s="129">
        <f t="shared" si="27"/>
        <v>0</v>
      </c>
      <c r="M132" s="129">
        <f t="shared" si="27"/>
        <v>0</v>
      </c>
      <c r="N132" s="129">
        <f t="shared" si="27"/>
        <v>0</v>
      </c>
      <c r="O132" s="129">
        <f t="shared" si="27"/>
        <v>0</v>
      </c>
      <c r="P132" s="128">
        <f>_xlfn.IFNA(VLOOKUP(A132,'Op Budget 2016'!$C$15:$Q$53,15,FALSE),)</f>
        <v>0</v>
      </c>
      <c r="Q132" s="128">
        <f t="shared" si="12"/>
        <v>0</v>
      </c>
      <c r="R132" s="185" t="str">
        <f t="shared" si="13"/>
        <v/>
      </c>
    </row>
    <row r="133" spans="1:24" x14ac:dyDescent="0.25">
      <c r="A133" s="123" t="s">
        <v>247</v>
      </c>
      <c r="B133" s="5" t="s">
        <v>470</v>
      </c>
      <c r="C133" s="129">
        <v>1644</v>
      </c>
      <c r="D133" s="129">
        <f t="shared" si="27"/>
        <v>236.5</v>
      </c>
      <c r="E133" s="129">
        <f t="shared" si="27"/>
        <v>236.5</v>
      </c>
      <c r="F133" s="129">
        <f t="shared" si="27"/>
        <v>236.5</v>
      </c>
      <c r="G133" s="129">
        <f t="shared" si="27"/>
        <v>236.5</v>
      </c>
      <c r="H133" s="129">
        <f t="shared" si="27"/>
        <v>236.5</v>
      </c>
      <c r="I133" s="129">
        <f t="shared" si="27"/>
        <v>236.5</v>
      </c>
      <c r="J133" s="129">
        <f t="shared" si="27"/>
        <v>236.5</v>
      </c>
      <c r="K133" s="129">
        <f t="shared" si="27"/>
        <v>236.5</v>
      </c>
      <c r="L133" s="129">
        <f t="shared" si="27"/>
        <v>236.5</v>
      </c>
      <c r="M133" s="129">
        <f t="shared" si="27"/>
        <v>236.5</v>
      </c>
      <c r="N133" s="129">
        <f t="shared" si="27"/>
        <v>236.5</v>
      </c>
      <c r="O133" s="129">
        <f t="shared" si="27"/>
        <v>236.5</v>
      </c>
      <c r="P133" s="128">
        <v>2838</v>
      </c>
      <c r="Q133" s="128">
        <f t="shared" si="12"/>
        <v>1194</v>
      </c>
      <c r="R133" s="185">
        <f t="shared" si="13"/>
        <v>0.72627737226277367</v>
      </c>
      <c r="S133" t="s">
        <v>568</v>
      </c>
    </row>
    <row r="134" spans="1:24" x14ac:dyDescent="0.25">
      <c r="A134" s="1" t="s">
        <v>79</v>
      </c>
      <c r="B134" s="5" t="s">
        <v>80</v>
      </c>
      <c r="C134" s="129">
        <v>0</v>
      </c>
      <c r="D134" s="129">
        <f t="shared" si="27"/>
        <v>11.666666666666666</v>
      </c>
      <c r="E134" s="129">
        <f t="shared" si="27"/>
        <v>11.666666666666666</v>
      </c>
      <c r="F134" s="129">
        <f t="shared" si="27"/>
        <v>11.666666666666666</v>
      </c>
      <c r="G134" s="129">
        <f t="shared" si="27"/>
        <v>11.666666666666666</v>
      </c>
      <c r="H134" s="129">
        <f t="shared" si="27"/>
        <v>11.666666666666666</v>
      </c>
      <c r="I134" s="129">
        <f t="shared" si="27"/>
        <v>11.666666666666666</v>
      </c>
      <c r="J134" s="129">
        <f t="shared" si="27"/>
        <v>11.666666666666666</v>
      </c>
      <c r="K134" s="129">
        <f t="shared" si="27"/>
        <v>11.666666666666666</v>
      </c>
      <c r="L134" s="129">
        <f t="shared" si="27"/>
        <v>11.666666666666666</v>
      </c>
      <c r="M134" s="129">
        <f t="shared" si="27"/>
        <v>11.666666666666666</v>
      </c>
      <c r="N134" s="129">
        <f t="shared" si="27"/>
        <v>11.666666666666666</v>
      </c>
      <c r="O134" s="129">
        <f t="shared" si="27"/>
        <v>11.666666666666666</v>
      </c>
      <c r="P134" s="128">
        <v>140</v>
      </c>
      <c r="Q134" s="128">
        <f t="shared" si="12"/>
        <v>140</v>
      </c>
      <c r="R134" s="185" t="str">
        <f t="shared" si="13"/>
        <v/>
      </c>
      <c r="S134" t="s">
        <v>568</v>
      </c>
    </row>
    <row r="135" spans="1:24" x14ac:dyDescent="0.25">
      <c r="A135" s="1" t="s">
        <v>81</v>
      </c>
      <c r="B135" s="5" t="s">
        <v>82</v>
      </c>
      <c r="C135" s="129">
        <v>0</v>
      </c>
      <c r="D135" s="129">
        <f t="shared" si="27"/>
        <v>0</v>
      </c>
      <c r="E135" s="129">
        <f t="shared" si="27"/>
        <v>0</v>
      </c>
      <c r="F135" s="129">
        <f t="shared" si="27"/>
        <v>0</v>
      </c>
      <c r="G135" s="129">
        <f t="shared" si="27"/>
        <v>0</v>
      </c>
      <c r="H135" s="129">
        <f t="shared" si="27"/>
        <v>0</v>
      </c>
      <c r="I135" s="129">
        <f t="shared" si="27"/>
        <v>0</v>
      </c>
      <c r="J135" s="129">
        <f t="shared" si="27"/>
        <v>0</v>
      </c>
      <c r="K135" s="129">
        <f t="shared" si="27"/>
        <v>0</v>
      </c>
      <c r="L135" s="129">
        <f t="shared" si="27"/>
        <v>0</v>
      </c>
      <c r="M135" s="129">
        <f t="shared" si="27"/>
        <v>0</v>
      </c>
      <c r="N135" s="129">
        <f t="shared" si="27"/>
        <v>0</v>
      </c>
      <c r="O135" s="129">
        <f t="shared" si="27"/>
        <v>0</v>
      </c>
      <c r="P135" s="128">
        <v>0</v>
      </c>
      <c r="Q135" s="128">
        <f t="shared" si="12"/>
        <v>0</v>
      </c>
      <c r="R135" s="185" t="str">
        <f t="shared" si="13"/>
        <v/>
      </c>
    </row>
    <row r="136" spans="1:24" x14ac:dyDescent="0.25">
      <c r="A136" s="1" t="s">
        <v>83</v>
      </c>
      <c r="B136" s="5" t="s">
        <v>84</v>
      </c>
      <c r="C136" s="129">
        <f t="shared" si="27"/>
        <v>0</v>
      </c>
      <c r="D136" s="129">
        <f t="shared" si="27"/>
        <v>0</v>
      </c>
      <c r="E136" s="129">
        <f t="shared" si="27"/>
        <v>0</v>
      </c>
      <c r="F136" s="129">
        <f t="shared" si="27"/>
        <v>0</v>
      </c>
      <c r="G136" s="129">
        <f t="shared" si="27"/>
        <v>0</v>
      </c>
      <c r="H136" s="129">
        <f t="shared" si="27"/>
        <v>0</v>
      </c>
      <c r="I136" s="129">
        <f t="shared" si="27"/>
        <v>0</v>
      </c>
      <c r="J136" s="129">
        <f t="shared" si="27"/>
        <v>0</v>
      </c>
      <c r="K136" s="129">
        <f t="shared" si="27"/>
        <v>0</v>
      </c>
      <c r="L136" s="129">
        <f t="shared" si="27"/>
        <v>0</v>
      </c>
      <c r="M136" s="129">
        <f t="shared" si="27"/>
        <v>0</v>
      </c>
      <c r="N136" s="129">
        <f t="shared" si="27"/>
        <v>0</v>
      </c>
      <c r="O136" s="129">
        <f t="shared" si="27"/>
        <v>0</v>
      </c>
      <c r="P136" s="128">
        <v>0</v>
      </c>
      <c r="Q136" s="128">
        <f t="shared" si="12"/>
        <v>0</v>
      </c>
      <c r="R136" s="185" t="str">
        <f t="shared" si="13"/>
        <v/>
      </c>
    </row>
    <row r="137" spans="1:24" x14ac:dyDescent="0.25">
      <c r="A137" s="1" t="s">
        <v>85</v>
      </c>
      <c r="B137" s="5" t="s">
        <v>86</v>
      </c>
      <c r="C137" s="129">
        <f t="shared" si="27"/>
        <v>0</v>
      </c>
      <c r="D137" s="129">
        <f t="shared" si="27"/>
        <v>0</v>
      </c>
      <c r="E137" s="129">
        <f t="shared" si="27"/>
        <v>0</v>
      </c>
      <c r="F137" s="129">
        <f t="shared" si="27"/>
        <v>0</v>
      </c>
      <c r="G137" s="129">
        <f t="shared" si="27"/>
        <v>0</v>
      </c>
      <c r="H137" s="129">
        <f t="shared" si="27"/>
        <v>0</v>
      </c>
      <c r="I137" s="129">
        <f t="shared" si="27"/>
        <v>0</v>
      </c>
      <c r="J137" s="129">
        <f t="shared" si="27"/>
        <v>0</v>
      </c>
      <c r="K137" s="129">
        <f t="shared" si="27"/>
        <v>0</v>
      </c>
      <c r="L137" s="129">
        <f t="shared" si="27"/>
        <v>0</v>
      </c>
      <c r="M137" s="129">
        <f t="shared" si="27"/>
        <v>0</v>
      </c>
      <c r="N137" s="129">
        <f t="shared" si="27"/>
        <v>0</v>
      </c>
      <c r="O137" s="129">
        <f t="shared" si="27"/>
        <v>0</v>
      </c>
      <c r="P137" s="128">
        <f>_xlfn.IFNA(VLOOKUP(A137,'Op Budget 2016'!$C$15:$Q$53,15,FALSE),)</f>
        <v>0</v>
      </c>
      <c r="Q137" s="128">
        <f t="shared" si="12"/>
        <v>0</v>
      </c>
      <c r="R137" s="185" t="str">
        <f t="shared" si="13"/>
        <v/>
      </c>
    </row>
    <row r="138" spans="1:24" x14ac:dyDescent="0.25">
      <c r="A138" s="1" t="s">
        <v>87</v>
      </c>
      <c r="B138" s="5" t="s">
        <v>88</v>
      </c>
      <c r="C138" s="129">
        <v>14400</v>
      </c>
      <c r="D138" s="129">
        <f t="shared" si="27"/>
        <v>679.16666666666663</v>
      </c>
      <c r="E138" s="129">
        <f t="shared" si="27"/>
        <v>679.16666666666663</v>
      </c>
      <c r="F138" s="129">
        <f t="shared" si="27"/>
        <v>679.16666666666663</v>
      </c>
      <c r="G138" s="129">
        <f t="shared" si="27"/>
        <v>679.16666666666663</v>
      </c>
      <c r="H138" s="129">
        <f t="shared" si="27"/>
        <v>679.16666666666663</v>
      </c>
      <c r="I138" s="129">
        <f t="shared" si="27"/>
        <v>679.16666666666663</v>
      </c>
      <c r="J138" s="129">
        <f t="shared" si="27"/>
        <v>679.16666666666663</v>
      </c>
      <c r="K138" s="129">
        <f t="shared" si="27"/>
        <v>679.16666666666663</v>
      </c>
      <c r="L138" s="129">
        <f t="shared" si="27"/>
        <v>679.16666666666663</v>
      </c>
      <c r="M138" s="129">
        <f t="shared" si="27"/>
        <v>679.16666666666663</v>
      </c>
      <c r="N138" s="129">
        <f t="shared" si="27"/>
        <v>679.16666666666663</v>
      </c>
      <c r="O138" s="129">
        <f t="shared" si="27"/>
        <v>679.16666666666663</v>
      </c>
      <c r="P138" s="128">
        <f>_xlfn.IFNA(VLOOKUP(A138,'Op Budget 2016'!$C$15:$Q$53,15,FALSE),)</f>
        <v>8150</v>
      </c>
      <c r="Q138" s="128">
        <f t="shared" si="12"/>
        <v>-6250</v>
      </c>
      <c r="R138" s="185">
        <f t="shared" si="13"/>
        <v>-0.43402777777777779</v>
      </c>
    </row>
    <row r="139" spans="1:24" x14ac:dyDescent="0.25">
      <c r="A139" s="1" t="s">
        <v>89</v>
      </c>
      <c r="B139" s="5" t="s">
        <v>90</v>
      </c>
      <c r="C139" s="129">
        <v>7200</v>
      </c>
      <c r="D139" s="129">
        <v>600</v>
      </c>
      <c r="E139" s="129">
        <f t="shared" si="27"/>
        <v>600</v>
      </c>
      <c r="F139" s="129">
        <f t="shared" si="27"/>
        <v>600</v>
      </c>
      <c r="G139" s="129">
        <f t="shared" si="27"/>
        <v>600</v>
      </c>
      <c r="H139" s="129">
        <f t="shared" si="27"/>
        <v>600</v>
      </c>
      <c r="I139" s="129">
        <f t="shared" si="27"/>
        <v>600</v>
      </c>
      <c r="J139" s="129">
        <f t="shared" si="27"/>
        <v>600</v>
      </c>
      <c r="K139" s="129">
        <f t="shared" si="27"/>
        <v>600</v>
      </c>
      <c r="L139" s="129">
        <f t="shared" si="27"/>
        <v>600</v>
      </c>
      <c r="M139" s="129">
        <f t="shared" si="27"/>
        <v>600</v>
      </c>
      <c r="N139" s="129">
        <f t="shared" si="27"/>
        <v>600</v>
      </c>
      <c r="O139" s="129">
        <f t="shared" si="27"/>
        <v>600</v>
      </c>
      <c r="P139" s="128">
        <v>7200</v>
      </c>
      <c r="Q139" s="128">
        <f t="shared" si="12"/>
        <v>0</v>
      </c>
      <c r="R139" s="185">
        <f t="shared" si="13"/>
        <v>0</v>
      </c>
    </row>
    <row r="140" spans="1:24" x14ac:dyDescent="0.25">
      <c r="A140" s="1" t="s">
        <v>91</v>
      </c>
      <c r="B140" s="5" t="s">
        <v>92</v>
      </c>
      <c r="C140" s="129">
        <v>0</v>
      </c>
      <c r="D140" s="129">
        <v>0</v>
      </c>
      <c r="E140" s="129">
        <v>0</v>
      </c>
      <c r="F140" s="129">
        <v>0</v>
      </c>
      <c r="G140" s="129">
        <v>0</v>
      </c>
      <c r="H140" s="129">
        <v>0</v>
      </c>
      <c r="I140" s="129">
        <v>0</v>
      </c>
      <c r="J140" s="129">
        <v>0</v>
      </c>
      <c r="K140" s="129">
        <v>0</v>
      </c>
      <c r="L140" s="129">
        <v>0</v>
      </c>
      <c r="M140" s="129">
        <v>0</v>
      </c>
      <c r="N140" s="129">
        <v>0</v>
      </c>
      <c r="O140" s="129">
        <v>0</v>
      </c>
      <c r="P140" s="128">
        <f>SUM(D140:O140)</f>
        <v>0</v>
      </c>
      <c r="Q140" s="128">
        <f t="shared" si="12"/>
        <v>0</v>
      </c>
      <c r="R140" s="185" t="str">
        <f t="shared" si="13"/>
        <v/>
      </c>
    </row>
    <row r="141" spans="1:24" ht="15.75" thickBot="1" x14ac:dyDescent="0.3">
      <c r="A141" s="1"/>
      <c r="B141" s="5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  <c r="M141" s="133"/>
      <c r="N141" s="133"/>
      <c r="O141" s="133"/>
      <c r="P141" s="133"/>
      <c r="Q141" s="133" t="str">
        <f t="shared" si="12"/>
        <v/>
      </c>
      <c r="R141" s="185" t="str">
        <f t="shared" si="13"/>
        <v/>
      </c>
    </row>
    <row r="142" spans="1:24" s="121" customFormat="1" x14ac:dyDescent="0.25">
      <c r="A142" s="6" t="s">
        <v>93</v>
      </c>
      <c r="B142" s="3" t="s">
        <v>94</v>
      </c>
      <c r="C142" s="130">
        <f t="shared" ref="C142" si="28">SUM(C124:C141)</f>
        <v>327716</v>
      </c>
      <c r="D142" s="130">
        <f t="shared" ref="D142:O142" si="29">SUM(D124:D141)</f>
        <v>81120.250000000015</v>
      </c>
      <c r="E142" s="130">
        <f t="shared" si="29"/>
        <v>1774</v>
      </c>
      <c r="F142" s="130">
        <f t="shared" si="29"/>
        <v>2024</v>
      </c>
      <c r="G142" s="130">
        <f t="shared" si="29"/>
        <v>81120.250000000015</v>
      </c>
      <c r="H142" s="130">
        <f t="shared" si="29"/>
        <v>2074</v>
      </c>
      <c r="I142" s="130">
        <f t="shared" si="29"/>
        <v>13773.999999999998</v>
      </c>
      <c r="J142" s="130">
        <f t="shared" si="29"/>
        <v>81120.250000000015</v>
      </c>
      <c r="K142" s="130">
        <f t="shared" si="29"/>
        <v>1774</v>
      </c>
      <c r="L142" s="130">
        <f t="shared" si="29"/>
        <v>2024</v>
      </c>
      <c r="M142" s="130">
        <f t="shared" si="29"/>
        <v>81120.250000000015</v>
      </c>
      <c r="N142" s="130">
        <f t="shared" si="29"/>
        <v>1774</v>
      </c>
      <c r="O142" s="130">
        <f t="shared" si="29"/>
        <v>1774</v>
      </c>
      <c r="P142" s="130">
        <f>SUM(P124:P141)</f>
        <v>351473</v>
      </c>
      <c r="Q142" s="130">
        <f t="shared" si="12"/>
        <v>23757</v>
      </c>
      <c r="R142" s="185">
        <f t="shared" si="13"/>
        <v>7.2492646071598582E-2</v>
      </c>
    </row>
    <row r="143" spans="1:24" x14ac:dyDescent="0.25">
      <c r="A143" s="1"/>
      <c r="B143" s="5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  <c r="M143" s="133"/>
      <c r="N143" s="133"/>
      <c r="O143" s="133"/>
      <c r="P143" s="133"/>
      <c r="Q143" s="133" t="str">
        <f t="shared" si="12"/>
        <v/>
      </c>
      <c r="R143" s="185" t="str">
        <f t="shared" si="13"/>
        <v/>
      </c>
    </row>
    <row r="144" spans="1:24" x14ac:dyDescent="0.25">
      <c r="A144" s="1" t="s">
        <v>95</v>
      </c>
      <c r="B144" s="5" t="s">
        <v>96</v>
      </c>
      <c r="C144" s="128"/>
      <c r="D144" s="128"/>
      <c r="E144" s="128"/>
      <c r="F144" s="128"/>
      <c r="G144" s="128"/>
      <c r="H144" s="128"/>
      <c r="I144" s="128"/>
      <c r="J144" s="128"/>
      <c r="K144" s="128"/>
      <c r="L144" s="128"/>
      <c r="M144" s="128"/>
      <c r="N144" s="128"/>
      <c r="O144" s="128"/>
      <c r="P144" s="128"/>
      <c r="Q144" s="128" t="str">
        <f t="shared" si="12"/>
        <v/>
      </c>
      <c r="R144" s="185" t="str">
        <f t="shared" si="13"/>
        <v/>
      </c>
      <c r="U144" s="140"/>
      <c r="V144" s="169"/>
      <c r="W144" s="169"/>
      <c r="X144" s="169"/>
    </row>
    <row r="145" spans="1:24" x14ac:dyDescent="0.25">
      <c r="A145" s="1" t="s">
        <v>256</v>
      </c>
      <c r="B145" s="5" t="s">
        <v>384</v>
      </c>
      <c r="C145" s="129">
        <v>960</v>
      </c>
      <c r="D145" s="129">
        <f t="shared" ref="D145:O145" si="30">$P$145/12</f>
        <v>56</v>
      </c>
      <c r="E145" s="129">
        <f t="shared" si="30"/>
        <v>56</v>
      </c>
      <c r="F145" s="129">
        <f t="shared" si="30"/>
        <v>56</v>
      </c>
      <c r="G145" s="129">
        <f t="shared" si="30"/>
        <v>56</v>
      </c>
      <c r="H145" s="129">
        <f t="shared" si="30"/>
        <v>56</v>
      </c>
      <c r="I145" s="129">
        <f t="shared" si="30"/>
        <v>56</v>
      </c>
      <c r="J145" s="129">
        <f t="shared" si="30"/>
        <v>56</v>
      </c>
      <c r="K145" s="129">
        <f t="shared" si="30"/>
        <v>56</v>
      </c>
      <c r="L145" s="129">
        <f t="shared" si="30"/>
        <v>56</v>
      </c>
      <c r="M145" s="129">
        <f t="shared" si="30"/>
        <v>56</v>
      </c>
      <c r="N145" s="129">
        <f t="shared" si="30"/>
        <v>56</v>
      </c>
      <c r="O145" s="129">
        <f t="shared" si="30"/>
        <v>56</v>
      </c>
      <c r="P145" s="128">
        <f>C145*0.7</f>
        <v>672</v>
      </c>
      <c r="Q145" s="128">
        <f t="shared" si="12"/>
        <v>-288</v>
      </c>
      <c r="R145" s="185">
        <f t="shared" si="13"/>
        <v>-0.3</v>
      </c>
      <c r="S145" t="s">
        <v>506</v>
      </c>
      <c r="V145" s="169"/>
      <c r="W145" s="169"/>
      <c r="X145" s="169"/>
    </row>
    <row r="146" spans="1:24" x14ac:dyDescent="0.25">
      <c r="A146" s="1" t="s">
        <v>97</v>
      </c>
      <c r="B146" s="5" t="s">
        <v>98</v>
      </c>
      <c r="C146" s="129">
        <v>400</v>
      </c>
      <c r="D146" s="129">
        <v>0</v>
      </c>
      <c r="E146" s="129">
        <v>0</v>
      </c>
      <c r="F146" s="129">
        <f>103*0.7</f>
        <v>72.099999999999994</v>
      </c>
      <c r="G146" s="129">
        <f>20*0.7</f>
        <v>14</v>
      </c>
      <c r="H146" s="129">
        <v>0</v>
      </c>
      <c r="I146" s="129">
        <v>0</v>
      </c>
      <c r="J146" s="129">
        <f>117*0.7</f>
        <v>81.899999999999991</v>
      </c>
      <c r="K146" s="129">
        <f>78*0.7</f>
        <v>54.599999999999994</v>
      </c>
      <c r="L146" s="129">
        <v>0</v>
      </c>
      <c r="M146" s="129">
        <v>0</v>
      </c>
      <c r="N146" s="129">
        <v>0</v>
      </c>
      <c r="O146" s="129">
        <v>0</v>
      </c>
      <c r="P146" s="128">
        <f>SUM(D146:O146)</f>
        <v>222.6</v>
      </c>
      <c r="Q146" s="128">
        <f t="shared" si="12"/>
        <v>-177.4</v>
      </c>
      <c r="R146" s="185">
        <f t="shared" si="13"/>
        <v>-0.44350000000000001</v>
      </c>
      <c r="S146" t="s">
        <v>506</v>
      </c>
      <c r="V146" s="169"/>
      <c r="W146" s="169"/>
      <c r="X146" s="169"/>
    </row>
    <row r="147" spans="1:24" x14ac:dyDescent="0.25">
      <c r="A147" s="1" t="s">
        <v>99</v>
      </c>
      <c r="B147" s="5" t="s">
        <v>100</v>
      </c>
      <c r="C147" s="129">
        <v>1806</v>
      </c>
      <c r="D147" s="129">
        <f t="shared" ref="D147:O147" si="31">$P$147/12</f>
        <v>105.34999999999998</v>
      </c>
      <c r="E147" s="129">
        <f t="shared" si="31"/>
        <v>105.34999999999998</v>
      </c>
      <c r="F147" s="129">
        <f t="shared" si="31"/>
        <v>105.34999999999998</v>
      </c>
      <c r="G147" s="129">
        <f t="shared" si="31"/>
        <v>105.34999999999998</v>
      </c>
      <c r="H147" s="129">
        <f t="shared" si="31"/>
        <v>105.34999999999998</v>
      </c>
      <c r="I147" s="129">
        <f t="shared" si="31"/>
        <v>105.34999999999998</v>
      </c>
      <c r="J147" s="129">
        <f t="shared" si="31"/>
        <v>105.34999999999998</v>
      </c>
      <c r="K147" s="129">
        <f t="shared" si="31"/>
        <v>105.34999999999998</v>
      </c>
      <c r="L147" s="129">
        <f t="shared" si="31"/>
        <v>105.34999999999998</v>
      </c>
      <c r="M147" s="129">
        <f t="shared" si="31"/>
        <v>105.34999999999998</v>
      </c>
      <c r="N147" s="129">
        <f t="shared" si="31"/>
        <v>105.34999999999998</v>
      </c>
      <c r="O147" s="129">
        <f t="shared" si="31"/>
        <v>105.34999999999998</v>
      </c>
      <c r="P147" s="128">
        <f>C147*0.7</f>
        <v>1264.1999999999998</v>
      </c>
      <c r="Q147" s="128">
        <f t="shared" si="12"/>
        <v>-541.80000000000018</v>
      </c>
      <c r="R147" s="185">
        <f t="shared" si="13"/>
        <v>-0.3000000000000001</v>
      </c>
      <c r="S147" t="s">
        <v>506</v>
      </c>
      <c r="V147" s="169"/>
      <c r="W147" s="169"/>
      <c r="X147" s="169"/>
    </row>
    <row r="148" spans="1:24" x14ac:dyDescent="0.25">
      <c r="A148" s="1" t="s">
        <v>101</v>
      </c>
      <c r="B148" s="5" t="s">
        <v>102</v>
      </c>
      <c r="C148" s="129">
        <f t="shared" ref="C148:O148" si="32">$P$148/12</f>
        <v>0</v>
      </c>
      <c r="D148" s="129">
        <f t="shared" si="32"/>
        <v>0</v>
      </c>
      <c r="E148" s="129">
        <f t="shared" si="32"/>
        <v>0</v>
      </c>
      <c r="F148" s="129">
        <f t="shared" si="32"/>
        <v>0</v>
      </c>
      <c r="G148" s="129">
        <f t="shared" si="32"/>
        <v>0</v>
      </c>
      <c r="H148" s="129">
        <f t="shared" si="32"/>
        <v>0</v>
      </c>
      <c r="I148" s="129">
        <f t="shared" si="32"/>
        <v>0</v>
      </c>
      <c r="J148" s="129">
        <f t="shared" si="32"/>
        <v>0</v>
      </c>
      <c r="K148" s="129">
        <f t="shared" si="32"/>
        <v>0</v>
      </c>
      <c r="L148" s="129">
        <f t="shared" si="32"/>
        <v>0</v>
      </c>
      <c r="M148" s="129">
        <f t="shared" si="32"/>
        <v>0</v>
      </c>
      <c r="N148" s="129">
        <f t="shared" si="32"/>
        <v>0</v>
      </c>
      <c r="O148" s="129">
        <f t="shared" si="32"/>
        <v>0</v>
      </c>
      <c r="P148" s="128">
        <v>0</v>
      </c>
      <c r="Q148" s="128">
        <f t="shared" si="12"/>
        <v>0</v>
      </c>
      <c r="R148" s="185" t="str">
        <f t="shared" si="13"/>
        <v/>
      </c>
      <c r="V148" s="164"/>
    </row>
    <row r="149" spans="1:24" x14ac:dyDescent="0.25">
      <c r="A149" s="1" t="s">
        <v>103</v>
      </c>
      <c r="B149" s="5" t="s">
        <v>104</v>
      </c>
      <c r="C149" s="129">
        <v>255</v>
      </c>
      <c r="D149" s="129">
        <f>20*0.7</f>
        <v>14</v>
      </c>
      <c r="E149" s="129">
        <f t="shared" ref="E149:O149" si="33">20*0.7</f>
        <v>14</v>
      </c>
      <c r="F149" s="129">
        <f t="shared" si="33"/>
        <v>14</v>
      </c>
      <c r="G149" s="129">
        <f t="shared" si="33"/>
        <v>14</v>
      </c>
      <c r="H149" s="129">
        <f t="shared" si="33"/>
        <v>14</v>
      </c>
      <c r="I149" s="129">
        <f t="shared" si="33"/>
        <v>14</v>
      </c>
      <c r="J149" s="129">
        <f t="shared" si="33"/>
        <v>14</v>
      </c>
      <c r="K149" s="129">
        <f t="shared" si="33"/>
        <v>14</v>
      </c>
      <c r="L149" s="129">
        <f t="shared" si="33"/>
        <v>14</v>
      </c>
      <c r="M149" s="129">
        <f t="shared" si="33"/>
        <v>14</v>
      </c>
      <c r="N149" s="129">
        <f t="shared" si="33"/>
        <v>14</v>
      </c>
      <c r="O149" s="129">
        <f t="shared" si="33"/>
        <v>14</v>
      </c>
      <c r="P149" s="128">
        <f>SUM(D149:O149)</f>
        <v>168</v>
      </c>
      <c r="Q149" s="128">
        <f t="shared" si="12"/>
        <v>-87</v>
      </c>
      <c r="R149" s="185">
        <f t="shared" si="13"/>
        <v>-0.3411764705882353</v>
      </c>
      <c r="S149" t="s">
        <v>506</v>
      </c>
      <c r="V149" s="164"/>
      <c r="W149" s="164"/>
      <c r="X149" s="168"/>
    </row>
    <row r="150" spans="1:24" ht="15.75" thickBot="1" x14ac:dyDescent="0.3">
      <c r="A150" s="1"/>
      <c r="B150" s="5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  <c r="M150" s="133"/>
      <c r="N150" s="133"/>
      <c r="O150" s="133"/>
      <c r="P150" s="133"/>
      <c r="Q150" s="133" t="str">
        <f t="shared" si="12"/>
        <v/>
      </c>
      <c r="R150" s="185" t="str">
        <f t="shared" si="13"/>
        <v/>
      </c>
      <c r="W150" s="216"/>
    </row>
    <row r="151" spans="1:24" s="121" customFormat="1" x14ac:dyDescent="0.25">
      <c r="A151" s="6" t="s">
        <v>105</v>
      </c>
      <c r="B151" s="3" t="s">
        <v>106</v>
      </c>
      <c r="C151" s="130">
        <f t="shared" ref="C151" si="34">SUM(C145:C150)</f>
        <v>3421</v>
      </c>
      <c r="D151" s="130">
        <f t="shared" ref="D151:O151" si="35">SUM(D145:D150)</f>
        <v>175.34999999999997</v>
      </c>
      <c r="E151" s="130">
        <f t="shared" si="35"/>
        <v>175.34999999999997</v>
      </c>
      <c r="F151" s="130">
        <f t="shared" si="35"/>
        <v>247.45</v>
      </c>
      <c r="G151" s="130">
        <f t="shared" si="35"/>
        <v>189.34999999999997</v>
      </c>
      <c r="H151" s="130">
        <f t="shared" si="35"/>
        <v>175.34999999999997</v>
      </c>
      <c r="I151" s="130">
        <f t="shared" si="35"/>
        <v>175.34999999999997</v>
      </c>
      <c r="J151" s="130">
        <f t="shared" si="35"/>
        <v>257.24999999999994</v>
      </c>
      <c r="K151" s="130">
        <f t="shared" si="35"/>
        <v>229.95</v>
      </c>
      <c r="L151" s="130">
        <f t="shared" si="35"/>
        <v>175.34999999999997</v>
      </c>
      <c r="M151" s="130">
        <f t="shared" si="35"/>
        <v>175.34999999999997</v>
      </c>
      <c r="N151" s="130">
        <f t="shared" si="35"/>
        <v>175.34999999999997</v>
      </c>
      <c r="O151" s="130">
        <f t="shared" si="35"/>
        <v>175.34999999999997</v>
      </c>
      <c r="P151" s="130">
        <f>SUM(P145:P150)</f>
        <v>2326.7999999999997</v>
      </c>
      <c r="Q151" s="130">
        <f t="shared" si="12"/>
        <v>-1094.2000000000003</v>
      </c>
      <c r="R151" s="185">
        <f t="shared" si="13"/>
        <v>-0.31984799766150257</v>
      </c>
    </row>
    <row r="152" spans="1:24" x14ac:dyDescent="0.25">
      <c r="A152" s="1"/>
      <c r="B152" s="5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  <c r="M152" s="133"/>
      <c r="N152" s="133"/>
      <c r="O152" s="133"/>
      <c r="P152" s="133"/>
      <c r="Q152" s="133" t="str">
        <f t="shared" si="12"/>
        <v/>
      </c>
      <c r="R152" s="185" t="str">
        <f t="shared" si="13"/>
        <v/>
      </c>
    </row>
    <row r="153" spans="1:24" x14ac:dyDescent="0.25">
      <c r="A153" s="1" t="s">
        <v>107</v>
      </c>
      <c r="B153" s="5" t="s">
        <v>108</v>
      </c>
      <c r="C153" s="128"/>
      <c r="D153" s="128"/>
      <c r="E153" s="128"/>
      <c r="F153" s="128"/>
      <c r="G153" s="128"/>
      <c r="H153" s="128"/>
      <c r="I153" s="128"/>
      <c r="J153" s="128"/>
      <c r="K153" s="128"/>
      <c r="L153" s="128"/>
      <c r="M153" s="128"/>
      <c r="N153" s="128"/>
      <c r="O153" s="128"/>
      <c r="P153" s="128"/>
      <c r="Q153" s="128" t="str">
        <f t="shared" si="12"/>
        <v/>
      </c>
      <c r="R153" s="185" t="str">
        <f t="shared" si="13"/>
        <v/>
      </c>
    </row>
    <row r="154" spans="1:24" ht="15.75" thickBot="1" x14ac:dyDescent="0.3">
      <c r="A154" s="1" t="s">
        <v>109</v>
      </c>
      <c r="B154" s="5" t="s">
        <v>110</v>
      </c>
      <c r="C154" s="128">
        <v>404773</v>
      </c>
      <c r="D154" s="128">
        <v>33368.28</v>
      </c>
      <c r="E154" s="128">
        <v>33311.43</v>
      </c>
      <c r="F154" s="128">
        <v>33254.35</v>
      </c>
      <c r="G154" s="128">
        <v>33197.050000000003</v>
      </c>
      <c r="H154" s="128">
        <v>33139.519999999997</v>
      </c>
      <c r="I154" s="128">
        <v>33081.760000000002</v>
      </c>
      <c r="J154" s="128">
        <v>33023.78</v>
      </c>
      <c r="K154" s="128">
        <v>32965.56</v>
      </c>
      <c r="L154" s="128">
        <v>32907.120000000003</v>
      </c>
      <c r="M154" s="128">
        <v>32848.44</v>
      </c>
      <c r="N154" s="128">
        <v>32789.53</v>
      </c>
      <c r="O154" s="128">
        <v>32730.39</v>
      </c>
      <c r="P154" s="128">
        <f>SUM(D154:O154)</f>
        <v>396617.20999999996</v>
      </c>
      <c r="Q154" s="128">
        <f t="shared" si="12"/>
        <v>-8155.7900000000373</v>
      </c>
      <c r="R154" s="185">
        <f t="shared" si="13"/>
        <v>-2.0149046502607727E-2</v>
      </c>
    </row>
    <row r="155" spans="1:24" s="121" customFormat="1" x14ac:dyDescent="0.25">
      <c r="A155" s="6" t="s">
        <v>111</v>
      </c>
      <c r="B155" s="3" t="s">
        <v>112</v>
      </c>
      <c r="C155" s="130">
        <f t="shared" ref="C155:O155" si="36">SUM(C154:C154)</f>
        <v>404773</v>
      </c>
      <c r="D155" s="130">
        <f t="shared" si="36"/>
        <v>33368.28</v>
      </c>
      <c r="E155" s="130">
        <f t="shared" si="36"/>
        <v>33311.43</v>
      </c>
      <c r="F155" s="130">
        <f t="shared" si="36"/>
        <v>33254.35</v>
      </c>
      <c r="G155" s="130">
        <f t="shared" si="36"/>
        <v>33197.050000000003</v>
      </c>
      <c r="H155" s="130">
        <f t="shared" si="36"/>
        <v>33139.519999999997</v>
      </c>
      <c r="I155" s="130">
        <f t="shared" si="36"/>
        <v>33081.760000000002</v>
      </c>
      <c r="J155" s="130">
        <f t="shared" si="36"/>
        <v>33023.78</v>
      </c>
      <c r="K155" s="130">
        <f t="shared" si="36"/>
        <v>32965.56</v>
      </c>
      <c r="L155" s="130">
        <f t="shared" si="36"/>
        <v>32907.120000000003</v>
      </c>
      <c r="M155" s="130">
        <f t="shared" si="36"/>
        <v>32848.44</v>
      </c>
      <c r="N155" s="130">
        <f t="shared" si="36"/>
        <v>32789.53</v>
      </c>
      <c r="O155" s="130">
        <f t="shared" si="36"/>
        <v>32730.39</v>
      </c>
      <c r="P155" s="130">
        <f>SUM(P154:P154)</f>
        <v>396617.20999999996</v>
      </c>
      <c r="Q155" s="130">
        <f t="shared" si="12"/>
        <v>-8155.7900000000373</v>
      </c>
      <c r="R155" s="185">
        <f t="shared" si="13"/>
        <v>-2.0149046502607727E-2</v>
      </c>
    </row>
    <row r="156" spans="1:24" x14ac:dyDescent="0.25">
      <c r="A156" s="1"/>
      <c r="B156" s="5"/>
      <c r="C156" s="135"/>
      <c r="D156" s="135"/>
      <c r="E156" s="135"/>
      <c r="F156" s="135"/>
      <c r="G156" s="135"/>
      <c r="H156" s="135"/>
      <c r="I156" s="135"/>
      <c r="J156" s="135"/>
      <c r="K156" s="135"/>
      <c r="L156" s="135"/>
      <c r="M156" s="135"/>
      <c r="N156" s="135"/>
      <c r="O156" s="135"/>
      <c r="P156" s="135"/>
      <c r="Q156" s="135" t="str">
        <f t="shared" si="12"/>
        <v/>
      </c>
      <c r="R156" s="185" t="str">
        <f t="shared" si="13"/>
        <v/>
      </c>
    </row>
    <row r="157" spans="1:24" ht="15.75" thickBot="1" x14ac:dyDescent="0.3">
      <c r="A157" s="1"/>
      <c r="B157" s="5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  <c r="M157" s="133"/>
      <c r="N157" s="133"/>
      <c r="O157" s="133"/>
      <c r="P157" s="133"/>
      <c r="Q157" s="133" t="str">
        <f t="shared" si="12"/>
        <v/>
      </c>
      <c r="R157" s="185" t="str">
        <f t="shared" si="13"/>
        <v/>
      </c>
    </row>
    <row r="158" spans="1:24" s="121" customFormat="1" x14ac:dyDescent="0.25">
      <c r="A158" s="6" t="s">
        <v>113</v>
      </c>
      <c r="B158" s="3" t="s">
        <v>114</v>
      </c>
      <c r="C158" s="130">
        <f t="shared" ref="C158" si="37">SUM(C155,C151,C142,C121)</f>
        <v>1048502</v>
      </c>
      <c r="D158" s="130">
        <f t="shared" ref="D158:O158" si="38">SUM(D155,D151,D142,D121)</f>
        <v>139484.88</v>
      </c>
      <c r="E158" s="130">
        <f t="shared" si="38"/>
        <v>59999.78</v>
      </c>
      <c r="F158" s="130">
        <f t="shared" si="38"/>
        <v>70283.799999999988</v>
      </c>
      <c r="G158" s="130">
        <f t="shared" si="38"/>
        <v>150871.65000000002</v>
      </c>
      <c r="H158" s="130">
        <f t="shared" si="38"/>
        <v>68690.87</v>
      </c>
      <c r="I158" s="130">
        <f t="shared" si="38"/>
        <v>85960.11</v>
      </c>
      <c r="J158" s="130">
        <f t="shared" si="38"/>
        <v>137563.28000000003</v>
      </c>
      <c r="K158" s="130">
        <f t="shared" si="38"/>
        <v>68285.509999999995</v>
      </c>
      <c r="L158" s="130">
        <f t="shared" si="38"/>
        <v>58197.47</v>
      </c>
      <c r="M158" s="130">
        <f t="shared" si="38"/>
        <v>137488.04</v>
      </c>
      <c r="N158" s="130">
        <f t="shared" si="38"/>
        <v>68179.88</v>
      </c>
      <c r="O158" s="130">
        <f t="shared" si="38"/>
        <v>59207.74</v>
      </c>
      <c r="P158" s="130">
        <f>SUM(P155,P151,P142,P121)</f>
        <v>1118736.01</v>
      </c>
      <c r="Q158" s="130">
        <f t="shared" si="12"/>
        <v>70234.010000000009</v>
      </c>
      <c r="R158" s="185">
        <f t="shared" si="13"/>
        <v>6.6985098740870316E-2</v>
      </c>
    </row>
    <row r="159" spans="1:24" x14ac:dyDescent="0.25">
      <c r="A159" s="1"/>
      <c r="B159" s="5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  <c r="M159" s="133"/>
      <c r="N159" s="133"/>
      <c r="O159" s="133"/>
      <c r="P159" s="133"/>
      <c r="Q159" s="133" t="str">
        <f t="shared" si="12"/>
        <v/>
      </c>
      <c r="R159" s="185" t="str">
        <f t="shared" si="13"/>
        <v/>
      </c>
    </row>
    <row r="160" spans="1:24" ht="15.75" thickBot="1" x14ac:dyDescent="0.3">
      <c r="A160" s="1"/>
      <c r="B160" s="5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N160" s="133"/>
      <c r="O160" s="133"/>
      <c r="P160" s="133"/>
      <c r="Q160" s="133" t="str">
        <f t="shared" si="12"/>
        <v/>
      </c>
      <c r="R160" s="185" t="str">
        <f t="shared" si="13"/>
        <v/>
      </c>
    </row>
    <row r="161" spans="1:19" s="121" customFormat="1" x14ac:dyDescent="0.25">
      <c r="A161" s="6" t="s">
        <v>115</v>
      </c>
      <c r="B161" s="3" t="s">
        <v>116</v>
      </c>
      <c r="C161" s="130">
        <f t="shared" ref="C161:P161" si="39">-C158+C100</f>
        <v>360220</v>
      </c>
      <c r="D161" s="130">
        <f t="shared" si="39"/>
        <v>-17737.320000000022</v>
      </c>
      <c r="E161" s="130">
        <f t="shared" si="39"/>
        <v>62103.319999999992</v>
      </c>
      <c r="F161" s="130">
        <f t="shared" si="39"/>
        <v>51945.500000000015</v>
      </c>
      <c r="G161" s="130">
        <f t="shared" si="39"/>
        <v>-28642.35000000002</v>
      </c>
      <c r="H161" s="130">
        <f t="shared" si="39"/>
        <v>53866.110000000015</v>
      </c>
      <c r="I161" s="130">
        <f t="shared" si="39"/>
        <v>36596.87000000001</v>
      </c>
      <c r="J161" s="130">
        <f t="shared" si="39"/>
        <v>-15006.300000000017</v>
      </c>
      <c r="K161" s="130">
        <f t="shared" si="39"/>
        <v>54301.860000000015</v>
      </c>
      <c r="L161" s="130">
        <f t="shared" si="39"/>
        <v>64937.220000000016</v>
      </c>
      <c r="M161" s="130">
        <f t="shared" si="39"/>
        <v>-14278.589999999997</v>
      </c>
      <c r="N161" s="130">
        <f t="shared" si="39"/>
        <v>55029.570000000007</v>
      </c>
      <c r="O161" s="130">
        <f t="shared" si="39"/>
        <v>64001.710000000014</v>
      </c>
      <c r="P161" s="130">
        <f t="shared" si="39"/>
        <v>352589.60000000009</v>
      </c>
      <c r="Q161" s="130">
        <f t="shared" si="12"/>
        <v>-7630.3999999999069</v>
      </c>
      <c r="R161" s="185">
        <f t="shared" si="13"/>
        <v>-2.1182610626838894E-2</v>
      </c>
    </row>
    <row r="162" spans="1:19" x14ac:dyDescent="0.25">
      <c r="A162" s="1"/>
      <c r="B162" s="5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  <c r="M162" s="133"/>
      <c r="N162" s="133"/>
      <c r="O162" s="133"/>
      <c r="P162" s="133"/>
      <c r="Q162" s="133" t="str">
        <f t="shared" si="12"/>
        <v/>
      </c>
      <c r="R162" s="185" t="str">
        <f t="shared" ref="R162:R219" si="40">IF(C162&lt;&gt;0,Q162/C162,"")</f>
        <v/>
      </c>
    </row>
    <row r="163" spans="1:19" x14ac:dyDescent="0.25">
      <c r="A163" s="1"/>
      <c r="B163" s="5" t="s">
        <v>117</v>
      </c>
      <c r="C163" s="128"/>
      <c r="D163" s="128"/>
      <c r="E163" s="128"/>
      <c r="F163" s="128"/>
      <c r="G163" s="128"/>
      <c r="H163" s="128"/>
      <c r="I163" s="128"/>
      <c r="J163" s="128"/>
      <c r="K163" s="128"/>
      <c r="L163" s="128"/>
      <c r="M163" s="128"/>
      <c r="N163" s="128"/>
      <c r="O163" s="128"/>
      <c r="P163" s="128"/>
      <c r="Q163" s="128" t="str">
        <f t="shared" si="12"/>
        <v/>
      </c>
      <c r="R163" s="185" t="str">
        <f t="shared" si="40"/>
        <v/>
      </c>
    </row>
    <row r="164" spans="1:19" ht="15.75" thickBot="1" x14ac:dyDescent="0.3">
      <c r="A164" s="1" t="s">
        <v>118</v>
      </c>
      <c r="B164" s="5" t="s">
        <v>119</v>
      </c>
      <c r="C164" s="129">
        <v>-128089</v>
      </c>
      <c r="D164" s="129">
        <f>-10674.05+D128</f>
        <v>68672.2</v>
      </c>
      <c r="E164" s="129">
        <f>-10674.05+E128</f>
        <v>-10674.05</v>
      </c>
      <c r="F164" s="129">
        <f t="shared" ref="F164:O164" si="41">-10674.05+F128</f>
        <v>-10674.05</v>
      </c>
      <c r="G164" s="129">
        <f t="shared" si="41"/>
        <v>68672.2</v>
      </c>
      <c r="H164" s="129">
        <f t="shared" si="41"/>
        <v>-10674.05</v>
      </c>
      <c r="I164" s="129">
        <f t="shared" si="41"/>
        <v>-10674.05</v>
      </c>
      <c r="J164" s="129">
        <f t="shared" si="41"/>
        <v>68672.2</v>
      </c>
      <c r="K164" s="129">
        <f t="shared" si="41"/>
        <v>-10674.05</v>
      </c>
      <c r="L164" s="129">
        <f t="shared" si="41"/>
        <v>-10674.05</v>
      </c>
      <c r="M164" s="129">
        <f t="shared" si="41"/>
        <v>68672.2</v>
      </c>
      <c r="N164" s="129">
        <f t="shared" si="41"/>
        <v>-10674.05</v>
      </c>
      <c r="O164" s="129">
        <f t="shared" si="41"/>
        <v>-10674.05</v>
      </c>
      <c r="P164" s="128">
        <f>SUM(D164:O164)</f>
        <v>189296.40000000002</v>
      </c>
      <c r="Q164" s="128">
        <f t="shared" si="12"/>
        <v>317385.40000000002</v>
      </c>
      <c r="R164" s="185">
        <f t="shared" si="40"/>
        <v>-2.4778505570345621</v>
      </c>
    </row>
    <row r="165" spans="1:19" s="121" customFormat="1" x14ac:dyDescent="0.25">
      <c r="A165" s="6" t="s">
        <v>120</v>
      </c>
      <c r="B165" s="3" t="s">
        <v>121</v>
      </c>
      <c r="C165" s="130">
        <f t="shared" ref="C165:O165" si="42">SUM(C164:C164)</f>
        <v>-128089</v>
      </c>
      <c r="D165" s="130">
        <f t="shared" si="42"/>
        <v>68672.2</v>
      </c>
      <c r="E165" s="130">
        <f t="shared" si="42"/>
        <v>-10674.05</v>
      </c>
      <c r="F165" s="130">
        <f t="shared" si="42"/>
        <v>-10674.05</v>
      </c>
      <c r="G165" s="130">
        <f t="shared" si="42"/>
        <v>68672.2</v>
      </c>
      <c r="H165" s="130">
        <f t="shared" si="42"/>
        <v>-10674.05</v>
      </c>
      <c r="I165" s="130">
        <f t="shared" si="42"/>
        <v>-10674.05</v>
      </c>
      <c r="J165" s="130">
        <f t="shared" si="42"/>
        <v>68672.2</v>
      </c>
      <c r="K165" s="130">
        <f t="shared" si="42"/>
        <v>-10674.05</v>
      </c>
      <c r="L165" s="130">
        <f t="shared" si="42"/>
        <v>-10674.05</v>
      </c>
      <c r="M165" s="130">
        <f t="shared" si="42"/>
        <v>68672.2</v>
      </c>
      <c r="N165" s="130">
        <f t="shared" si="42"/>
        <v>-10674.05</v>
      </c>
      <c r="O165" s="130">
        <f t="shared" si="42"/>
        <v>-10674.05</v>
      </c>
      <c r="P165" s="130">
        <f>SUM(P164:P164)</f>
        <v>189296.40000000002</v>
      </c>
      <c r="Q165" s="130">
        <f t="shared" si="12"/>
        <v>317385.40000000002</v>
      </c>
      <c r="R165" s="185">
        <f t="shared" si="40"/>
        <v>-2.4778505570345621</v>
      </c>
    </row>
    <row r="166" spans="1:19" s="121" customFormat="1" x14ac:dyDescent="0.25">
      <c r="A166" s="6"/>
      <c r="B166" s="3"/>
      <c r="C166" s="136"/>
      <c r="D166" s="136"/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 t="str">
        <f t="shared" ref="Q166:Q222" si="43">IF(C166&lt;&gt;"",P166-C166,"")</f>
        <v/>
      </c>
      <c r="R166" s="185" t="str">
        <f t="shared" si="40"/>
        <v/>
      </c>
    </row>
    <row r="167" spans="1:19" s="173" customFormat="1" x14ac:dyDescent="0.25">
      <c r="A167" s="171"/>
      <c r="B167" s="172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185" t="str">
        <f t="shared" si="40"/>
        <v/>
      </c>
    </row>
    <row r="168" spans="1:19" s="173" customFormat="1" x14ac:dyDescent="0.25">
      <c r="A168" s="171" t="s">
        <v>126</v>
      </c>
      <c r="B168" s="172" t="s">
        <v>127</v>
      </c>
      <c r="C168" s="174">
        <v>0</v>
      </c>
      <c r="D168" s="174">
        <v>0</v>
      </c>
      <c r="E168" s="174">
        <v>0</v>
      </c>
      <c r="F168" s="174">
        <v>13213</v>
      </c>
      <c r="G168" s="174">
        <v>0</v>
      </c>
      <c r="H168" s="174">
        <v>0</v>
      </c>
      <c r="I168" s="174">
        <v>13213</v>
      </c>
      <c r="J168" s="174">
        <v>0</v>
      </c>
      <c r="K168" s="174">
        <v>0</v>
      </c>
      <c r="L168" s="174">
        <v>13213</v>
      </c>
      <c r="M168" s="174">
        <v>0</v>
      </c>
      <c r="N168" s="174">
        <v>0</v>
      </c>
      <c r="O168" s="174">
        <v>13213</v>
      </c>
      <c r="P168" s="175">
        <f>SUM(D168:O168)</f>
        <v>52852</v>
      </c>
      <c r="Q168" s="175">
        <f t="shared" si="43"/>
        <v>52852</v>
      </c>
      <c r="R168" s="185" t="str">
        <f t="shared" si="40"/>
        <v/>
      </c>
      <c r="S168" s="176" t="s">
        <v>503</v>
      </c>
    </row>
    <row r="169" spans="1:19" s="173" customFormat="1" x14ac:dyDescent="0.25">
      <c r="A169" s="171" t="s">
        <v>277</v>
      </c>
      <c r="B169" s="172" t="s">
        <v>386</v>
      </c>
      <c r="C169" s="174">
        <v>0</v>
      </c>
      <c r="D169" s="174">
        <v>0</v>
      </c>
      <c r="E169" s="174">
        <v>0</v>
      </c>
      <c r="F169" s="174">
        <v>0</v>
      </c>
      <c r="G169" s="174">
        <v>0</v>
      </c>
      <c r="H169" s="174">
        <v>0</v>
      </c>
      <c r="I169" s="174">
        <v>0</v>
      </c>
      <c r="J169" s="174">
        <v>0</v>
      </c>
      <c r="K169" s="174">
        <v>0</v>
      </c>
      <c r="L169" s="174">
        <v>0</v>
      </c>
      <c r="M169" s="174">
        <v>0</v>
      </c>
      <c r="N169" s="174">
        <v>0</v>
      </c>
      <c r="O169" s="174">
        <v>0</v>
      </c>
      <c r="P169" s="175">
        <f>SUM(D169:O169)</f>
        <v>0</v>
      </c>
      <c r="Q169" s="175">
        <f t="shared" si="43"/>
        <v>0</v>
      </c>
      <c r="R169" s="185" t="str">
        <f t="shared" si="40"/>
        <v/>
      </c>
    </row>
    <row r="170" spans="1:19" s="173" customFormat="1" ht="15.75" thickBot="1" x14ac:dyDescent="0.3">
      <c r="A170" s="171" t="s">
        <v>134</v>
      </c>
      <c r="B170" s="172" t="s">
        <v>135</v>
      </c>
      <c r="C170" s="175"/>
      <c r="D170" s="175"/>
      <c r="E170" s="175"/>
      <c r="F170" s="175"/>
      <c r="G170" s="175"/>
      <c r="H170" s="175"/>
      <c r="I170" s="175"/>
      <c r="J170" s="175"/>
      <c r="K170" s="175"/>
      <c r="L170" s="175"/>
      <c r="M170" s="175"/>
      <c r="N170" s="175"/>
      <c r="O170" s="175"/>
      <c r="P170" s="175">
        <f>_xlfn.IFNA(VLOOKUP(A170,'Op Budget 2016'!$C$15:$Q$53,15,FALSE),)</f>
        <v>0</v>
      </c>
      <c r="Q170" s="175" t="str">
        <f t="shared" si="43"/>
        <v/>
      </c>
      <c r="R170" s="185" t="str">
        <f t="shared" si="40"/>
        <v/>
      </c>
    </row>
    <row r="171" spans="1:19" s="176" customFormat="1" x14ac:dyDescent="0.25">
      <c r="A171" s="177" t="s">
        <v>136</v>
      </c>
      <c r="B171" s="178" t="s">
        <v>137</v>
      </c>
      <c r="C171" s="179">
        <f t="shared" ref="C171" si="44">SUM(C168:C170)</f>
        <v>0</v>
      </c>
      <c r="D171" s="179">
        <f t="shared" ref="D171:O171" si="45">SUM(D168:D170)</f>
        <v>0</v>
      </c>
      <c r="E171" s="179">
        <f>SUM(E168:E170)</f>
        <v>0</v>
      </c>
      <c r="F171" s="179">
        <f t="shared" si="45"/>
        <v>13213</v>
      </c>
      <c r="G171" s="179">
        <f t="shared" si="45"/>
        <v>0</v>
      </c>
      <c r="H171" s="179">
        <f t="shared" si="45"/>
        <v>0</v>
      </c>
      <c r="I171" s="179">
        <f t="shared" si="45"/>
        <v>13213</v>
      </c>
      <c r="J171" s="179">
        <f t="shared" si="45"/>
        <v>0</v>
      </c>
      <c r="K171" s="179">
        <f t="shared" si="45"/>
        <v>0</v>
      </c>
      <c r="L171" s="179">
        <f t="shared" si="45"/>
        <v>13213</v>
      </c>
      <c r="M171" s="179">
        <f t="shared" si="45"/>
        <v>0</v>
      </c>
      <c r="N171" s="179">
        <f t="shared" si="45"/>
        <v>0</v>
      </c>
      <c r="O171" s="179">
        <f t="shared" si="45"/>
        <v>13213</v>
      </c>
      <c r="P171" s="179">
        <f>SUM(P168:P170)</f>
        <v>52852</v>
      </c>
      <c r="Q171" s="179">
        <f t="shared" si="43"/>
        <v>52852</v>
      </c>
      <c r="R171" s="185" t="str">
        <f t="shared" si="40"/>
        <v/>
      </c>
    </row>
    <row r="172" spans="1:19" x14ac:dyDescent="0.25">
      <c r="A172" s="122"/>
      <c r="B172" s="3"/>
      <c r="C172" s="136"/>
      <c r="D172" s="136"/>
      <c r="E172" s="136"/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 t="str">
        <f t="shared" si="43"/>
        <v/>
      </c>
      <c r="R172" s="185" t="str">
        <f t="shared" si="40"/>
        <v/>
      </c>
    </row>
    <row r="173" spans="1:19" x14ac:dyDescent="0.25">
      <c r="A173" s="122"/>
      <c r="B173" s="3"/>
      <c r="C173" s="136"/>
      <c r="D173" s="136"/>
      <c r="E173" s="136"/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 t="str">
        <f t="shared" si="43"/>
        <v/>
      </c>
      <c r="R173" s="185" t="str">
        <f t="shared" si="40"/>
        <v/>
      </c>
    </row>
    <row r="174" spans="1:19" x14ac:dyDescent="0.25">
      <c r="A174" s="1" t="s">
        <v>130</v>
      </c>
      <c r="B174" s="5" t="s">
        <v>131</v>
      </c>
      <c r="C174" s="128"/>
      <c r="D174" s="128"/>
      <c r="E174" s="128"/>
      <c r="F174" s="128"/>
      <c r="G174" s="128"/>
      <c r="H174" s="128"/>
      <c r="I174" s="128"/>
      <c r="J174" s="128"/>
      <c r="K174" s="128"/>
      <c r="L174" s="128"/>
      <c r="M174" s="128"/>
      <c r="N174" s="128"/>
      <c r="O174" s="128"/>
      <c r="P174" s="128"/>
      <c r="Q174" s="128" t="str">
        <f t="shared" si="43"/>
        <v/>
      </c>
      <c r="R174" s="185" t="str">
        <f t="shared" si="40"/>
        <v/>
      </c>
    </row>
    <row r="175" spans="1:19" x14ac:dyDescent="0.25">
      <c r="A175" s="1" t="s">
        <v>132</v>
      </c>
      <c r="B175" s="5" t="s">
        <v>133</v>
      </c>
      <c r="C175" s="129">
        <v>0</v>
      </c>
      <c r="D175" s="129">
        <v>0</v>
      </c>
      <c r="E175" s="129">
        <f>$P$175/3</f>
        <v>13333.333333333334</v>
      </c>
      <c r="F175" s="129">
        <f t="shared" ref="F175:G175" si="46">$P$175/3</f>
        <v>13333.333333333334</v>
      </c>
      <c r="G175" s="129">
        <f t="shared" si="46"/>
        <v>13333.333333333334</v>
      </c>
      <c r="H175" s="129">
        <v>0</v>
      </c>
      <c r="I175" s="129">
        <v>0</v>
      </c>
      <c r="J175" s="129">
        <v>0</v>
      </c>
      <c r="K175" s="129">
        <v>0</v>
      </c>
      <c r="L175" s="129">
        <v>0</v>
      </c>
      <c r="M175" s="129">
        <v>0</v>
      </c>
      <c r="N175" s="129">
        <v>0</v>
      </c>
      <c r="O175" s="129">
        <v>0</v>
      </c>
      <c r="P175" s="128">
        <v>40000</v>
      </c>
      <c r="Q175" s="128">
        <f t="shared" si="43"/>
        <v>40000</v>
      </c>
      <c r="R175" s="185" t="str">
        <f t="shared" si="40"/>
        <v/>
      </c>
      <c r="S175" t="s">
        <v>580</v>
      </c>
    </row>
    <row r="176" spans="1:19" x14ac:dyDescent="0.25">
      <c r="A176" s="1" t="s">
        <v>277</v>
      </c>
      <c r="B176" s="5" t="s">
        <v>386</v>
      </c>
      <c r="C176" s="129">
        <v>0</v>
      </c>
      <c r="D176" s="129">
        <v>0</v>
      </c>
      <c r="E176" s="129">
        <v>0</v>
      </c>
      <c r="F176" s="129">
        <v>0</v>
      </c>
      <c r="G176" s="129">
        <v>0</v>
      </c>
      <c r="H176" s="129">
        <v>0</v>
      </c>
      <c r="I176" s="129">
        <v>0</v>
      </c>
      <c r="J176" s="129">
        <v>0</v>
      </c>
      <c r="K176" s="129">
        <v>0</v>
      </c>
      <c r="L176" s="129">
        <v>0</v>
      </c>
      <c r="M176" s="129">
        <v>0</v>
      </c>
      <c r="N176" s="129">
        <v>0</v>
      </c>
      <c r="O176" s="129">
        <v>0</v>
      </c>
      <c r="P176" s="128">
        <f>SUM(D176:O176)</f>
        <v>0</v>
      </c>
      <c r="Q176" s="128">
        <f t="shared" si="43"/>
        <v>0</v>
      </c>
      <c r="R176" s="185" t="str">
        <f t="shared" si="40"/>
        <v/>
      </c>
    </row>
    <row r="177" spans="1:31" ht="15.75" thickBot="1" x14ac:dyDescent="0.3">
      <c r="A177" s="1" t="s">
        <v>134</v>
      </c>
      <c r="B177" s="5" t="s">
        <v>135</v>
      </c>
      <c r="C177" s="128"/>
      <c r="D177" s="128"/>
      <c r="E177" s="128"/>
      <c r="F177" s="128"/>
      <c r="G177" s="128"/>
      <c r="H177" s="128"/>
      <c r="I177" s="128"/>
      <c r="J177" s="128"/>
      <c r="K177" s="128"/>
      <c r="L177" s="128"/>
      <c r="M177" s="128"/>
      <c r="N177" s="128"/>
      <c r="O177" s="128"/>
      <c r="P177" s="128">
        <f>_xlfn.IFNA(VLOOKUP(A177,'Op Budget 2016'!$C$15:$Q$53,15,FALSE),)</f>
        <v>0</v>
      </c>
      <c r="Q177" s="128" t="str">
        <f t="shared" si="43"/>
        <v/>
      </c>
      <c r="R177" s="185" t="str">
        <f t="shared" si="40"/>
        <v/>
      </c>
    </row>
    <row r="178" spans="1:31" s="121" customFormat="1" x14ac:dyDescent="0.25">
      <c r="A178" s="6" t="s">
        <v>136</v>
      </c>
      <c r="B178" s="3" t="s">
        <v>137</v>
      </c>
      <c r="C178" s="130">
        <f t="shared" ref="C178" si="47">SUM(C175:C177)</f>
        <v>0</v>
      </c>
      <c r="D178" s="130">
        <f t="shared" ref="D178:O178" si="48">SUM(D175:D177)</f>
        <v>0</v>
      </c>
      <c r="E178" s="130">
        <f t="shared" si="48"/>
        <v>13333.333333333334</v>
      </c>
      <c r="F178" s="130">
        <f t="shared" si="48"/>
        <v>13333.333333333334</v>
      </c>
      <c r="G178" s="130">
        <f t="shared" si="48"/>
        <v>13333.333333333334</v>
      </c>
      <c r="H178" s="130">
        <f t="shared" si="48"/>
        <v>0</v>
      </c>
      <c r="I178" s="130">
        <f t="shared" si="48"/>
        <v>0</v>
      </c>
      <c r="J178" s="130">
        <f t="shared" si="48"/>
        <v>0</v>
      </c>
      <c r="K178" s="130">
        <f t="shared" si="48"/>
        <v>0</v>
      </c>
      <c r="L178" s="130">
        <f t="shared" si="48"/>
        <v>0</v>
      </c>
      <c r="M178" s="130">
        <f t="shared" si="48"/>
        <v>0</v>
      </c>
      <c r="N178" s="130">
        <f t="shared" si="48"/>
        <v>0</v>
      </c>
      <c r="O178" s="130">
        <f t="shared" si="48"/>
        <v>0</v>
      </c>
      <c r="P178" s="130">
        <f>SUM(P175:P177)</f>
        <v>40000</v>
      </c>
      <c r="Q178" s="130">
        <f t="shared" si="43"/>
        <v>40000</v>
      </c>
      <c r="R178" s="185" t="str">
        <f t="shared" si="40"/>
        <v/>
      </c>
    </row>
    <row r="179" spans="1:31" ht="15.75" thickBot="1" x14ac:dyDescent="0.3">
      <c r="A179" s="1"/>
      <c r="B179" s="5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  <c r="M179" s="133"/>
      <c r="N179" s="133"/>
      <c r="O179" s="133"/>
      <c r="P179" s="133"/>
      <c r="Q179" s="133" t="str">
        <f t="shared" si="43"/>
        <v/>
      </c>
      <c r="R179" s="185" t="str">
        <f t="shared" si="40"/>
        <v/>
      </c>
    </row>
    <row r="180" spans="1:31" s="121" customFormat="1" x14ac:dyDescent="0.25">
      <c r="A180" s="6" t="s">
        <v>138</v>
      </c>
      <c r="B180" s="3" t="s">
        <v>139</v>
      </c>
      <c r="C180" s="130">
        <f>SUM(C178,C171,C165)</f>
        <v>-128089</v>
      </c>
      <c r="D180" s="130">
        <f>SUM(D178,D171,D165)</f>
        <v>68672.2</v>
      </c>
      <c r="E180" s="130">
        <f t="shared" ref="E180:P180" si="49">SUM(E178,E171,E165)</f>
        <v>2659.2833333333347</v>
      </c>
      <c r="F180" s="130">
        <f t="shared" si="49"/>
        <v>15872.283333333336</v>
      </c>
      <c r="G180" s="130">
        <f t="shared" si="49"/>
        <v>82005.533333333326</v>
      </c>
      <c r="H180" s="130">
        <f t="shared" si="49"/>
        <v>-10674.05</v>
      </c>
      <c r="I180" s="130">
        <f t="shared" si="49"/>
        <v>2538.9500000000007</v>
      </c>
      <c r="J180" s="130">
        <f t="shared" si="49"/>
        <v>68672.2</v>
      </c>
      <c r="K180" s="130">
        <f t="shared" si="49"/>
        <v>-10674.05</v>
      </c>
      <c r="L180" s="130">
        <f t="shared" si="49"/>
        <v>2538.9500000000007</v>
      </c>
      <c r="M180" s="130">
        <f t="shared" si="49"/>
        <v>68672.2</v>
      </c>
      <c r="N180" s="130">
        <f t="shared" si="49"/>
        <v>-10674.05</v>
      </c>
      <c r="O180" s="130">
        <f t="shared" si="49"/>
        <v>2538.9500000000007</v>
      </c>
      <c r="P180" s="130">
        <f t="shared" si="49"/>
        <v>282148.40000000002</v>
      </c>
      <c r="Q180" s="130">
        <f t="shared" si="43"/>
        <v>410237.4</v>
      </c>
      <c r="R180" s="185">
        <f t="shared" si="40"/>
        <v>-3.2027527734622021</v>
      </c>
    </row>
    <row r="181" spans="1:31" x14ac:dyDescent="0.25">
      <c r="A181" s="1"/>
      <c r="B181" s="5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  <c r="M181" s="133"/>
      <c r="N181" s="133"/>
      <c r="O181" s="133"/>
      <c r="P181" s="133"/>
      <c r="Q181" s="133" t="str">
        <f t="shared" si="43"/>
        <v/>
      </c>
      <c r="R181" s="185" t="str">
        <f t="shared" si="40"/>
        <v/>
      </c>
    </row>
    <row r="182" spans="1:31" x14ac:dyDescent="0.25">
      <c r="A182" s="1" t="s">
        <v>140</v>
      </c>
      <c r="B182" s="5" t="s">
        <v>141</v>
      </c>
      <c r="C182" s="128"/>
      <c r="D182" s="128"/>
      <c r="E182" s="128"/>
      <c r="F182" s="128"/>
      <c r="G182" s="128"/>
      <c r="H182" s="128"/>
      <c r="I182" s="128"/>
      <c r="J182" s="128"/>
      <c r="K182" s="128"/>
      <c r="L182" s="128"/>
      <c r="M182" s="128"/>
      <c r="N182" s="128"/>
      <c r="O182" s="128"/>
      <c r="P182" s="128"/>
      <c r="Q182" s="128" t="str">
        <f t="shared" si="43"/>
        <v/>
      </c>
      <c r="R182" s="185" t="str">
        <f t="shared" si="40"/>
        <v/>
      </c>
      <c r="S182" s="140"/>
      <c r="T182" s="140"/>
      <c r="U182" s="140"/>
      <c r="V182" s="140"/>
      <c r="W182" s="140"/>
      <c r="X182" s="140"/>
      <c r="Y182" s="140"/>
      <c r="Z182" s="140"/>
      <c r="AA182" s="140"/>
      <c r="AB182" s="140"/>
    </row>
    <row r="183" spans="1:31" x14ac:dyDescent="0.25">
      <c r="A183" s="1" t="s">
        <v>271</v>
      </c>
      <c r="B183" s="5" t="s">
        <v>385</v>
      </c>
      <c r="C183" s="128">
        <v>-167996</v>
      </c>
      <c r="D183" s="128">
        <v>-14362.450000000004</v>
      </c>
      <c r="E183" s="128">
        <v>-14419.300000000003</v>
      </c>
      <c r="F183" s="128">
        <v>-14476.380000000005</v>
      </c>
      <c r="G183" s="128">
        <v>-14533.68</v>
      </c>
      <c r="H183" s="128">
        <v>-14591.210000000006</v>
      </c>
      <c r="I183" s="128">
        <v>-14648.970000000001</v>
      </c>
      <c r="J183" s="128">
        <v>-14706.950000000004</v>
      </c>
      <c r="K183" s="128">
        <v>-14765.170000000006</v>
      </c>
      <c r="L183" s="128">
        <v>-14823.61</v>
      </c>
      <c r="M183" s="128">
        <v>-14882.29</v>
      </c>
      <c r="N183" s="128">
        <v>-14941.200000000004</v>
      </c>
      <c r="O183" s="128">
        <v>-15000.340000000004</v>
      </c>
      <c r="P183" s="128">
        <f>SUM(D183:O183)</f>
        <v>-176151.55000000005</v>
      </c>
      <c r="Q183" s="128">
        <f t="shared" si="43"/>
        <v>-8155.5500000000466</v>
      </c>
      <c r="R183" s="185">
        <f t="shared" si="40"/>
        <v>4.8546096335627315E-2</v>
      </c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</row>
    <row r="184" spans="1:31" ht="15.75" thickBot="1" x14ac:dyDescent="0.3">
      <c r="A184" s="1" t="s">
        <v>144</v>
      </c>
      <c r="B184" s="5" t="s">
        <v>145</v>
      </c>
      <c r="C184" s="129"/>
      <c r="D184" s="129"/>
      <c r="F184" s="129"/>
      <c r="G184" s="129"/>
      <c r="H184" s="129"/>
      <c r="I184" s="129"/>
      <c r="J184" s="129"/>
      <c r="K184" s="129"/>
      <c r="L184" s="129"/>
      <c r="M184" s="129"/>
      <c r="N184" s="129"/>
      <c r="O184" s="129"/>
      <c r="P184" s="128">
        <f t="shared" ref="P184" si="50">SUM(D184:O184)</f>
        <v>0</v>
      </c>
      <c r="Q184" s="128" t="str">
        <f t="shared" si="43"/>
        <v/>
      </c>
      <c r="R184" s="185" t="str">
        <f t="shared" si="40"/>
        <v/>
      </c>
      <c r="S184" s="5"/>
    </row>
    <row r="185" spans="1:31" s="121" customFormat="1" x14ac:dyDescent="0.25">
      <c r="A185" s="6" t="s">
        <v>146</v>
      </c>
      <c r="B185" s="3" t="s">
        <v>147</v>
      </c>
      <c r="C185" s="130">
        <f t="shared" ref="C185:P185" si="51">SUM(C183:C184)</f>
        <v>-167996</v>
      </c>
      <c r="D185" s="130">
        <f t="shared" si="51"/>
        <v>-14362.450000000004</v>
      </c>
      <c r="E185" s="130">
        <f t="shared" si="51"/>
        <v>-14419.300000000003</v>
      </c>
      <c r="F185" s="130">
        <f t="shared" si="51"/>
        <v>-14476.380000000005</v>
      </c>
      <c r="G185" s="130">
        <f t="shared" si="51"/>
        <v>-14533.68</v>
      </c>
      <c r="H185" s="130">
        <f t="shared" si="51"/>
        <v>-14591.210000000006</v>
      </c>
      <c r="I185" s="130">
        <f t="shared" si="51"/>
        <v>-14648.970000000001</v>
      </c>
      <c r="J185" s="130">
        <f t="shared" si="51"/>
        <v>-14706.950000000004</v>
      </c>
      <c r="K185" s="130">
        <f t="shared" si="51"/>
        <v>-14765.170000000006</v>
      </c>
      <c r="L185" s="130">
        <f t="shared" si="51"/>
        <v>-14823.61</v>
      </c>
      <c r="M185" s="130">
        <f t="shared" si="51"/>
        <v>-14882.29</v>
      </c>
      <c r="N185" s="130">
        <f t="shared" si="51"/>
        <v>-14941.200000000004</v>
      </c>
      <c r="O185" s="130">
        <f t="shared" si="51"/>
        <v>-15000.340000000004</v>
      </c>
      <c r="P185" s="130">
        <f t="shared" si="51"/>
        <v>-176151.55000000005</v>
      </c>
      <c r="Q185" s="130">
        <f t="shared" si="43"/>
        <v>-8155.5500000000466</v>
      </c>
      <c r="R185" s="185">
        <f t="shared" si="40"/>
        <v>4.8546096335627315E-2</v>
      </c>
    </row>
    <row r="186" spans="1:31" x14ac:dyDescent="0.25">
      <c r="A186" s="1"/>
      <c r="B186" s="5"/>
      <c r="C186" s="135"/>
      <c r="D186" s="135"/>
      <c r="E186" s="135"/>
      <c r="F186" s="135"/>
      <c r="G186" s="135"/>
      <c r="H186" s="135"/>
      <c r="I186" s="135"/>
      <c r="J186" s="135"/>
      <c r="K186" s="135"/>
      <c r="L186" s="135"/>
      <c r="M186" s="135"/>
      <c r="N186" s="135"/>
      <c r="O186" s="135"/>
      <c r="P186" s="128"/>
      <c r="Q186" s="128" t="str">
        <f t="shared" si="43"/>
        <v/>
      </c>
      <c r="R186" s="185" t="str">
        <f t="shared" si="40"/>
        <v/>
      </c>
    </row>
    <row r="187" spans="1:31" ht="15.75" thickBot="1" x14ac:dyDescent="0.3">
      <c r="A187" s="1" t="s">
        <v>148</v>
      </c>
      <c r="B187" s="5" t="s">
        <v>149</v>
      </c>
      <c r="C187" s="128"/>
      <c r="D187" s="128"/>
      <c r="E187" s="128"/>
      <c r="F187" s="128"/>
      <c r="G187" s="128"/>
      <c r="H187" s="128"/>
      <c r="I187" s="128"/>
      <c r="J187" s="128"/>
      <c r="K187" s="128"/>
      <c r="L187" s="128"/>
      <c r="M187" s="128"/>
      <c r="N187" s="128"/>
      <c r="O187" s="128"/>
      <c r="P187" s="128"/>
      <c r="Q187" s="128" t="str">
        <f t="shared" si="43"/>
        <v/>
      </c>
      <c r="R187" s="185" t="str">
        <f t="shared" si="40"/>
        <v/>
      </c>
    </row>
    <row r="188" spans="1:31" hidden="1" outlineLevel="1" x14ac:dyDescent="0.25">
      <c r="A188" s="7" t="s">
        <v>436</v>
      </c>
      <c r="B188" s="5" t="s">
        <v>437</v>
      </c>
      <c r="C188" s="128"/>
      <c r="D188" s="128"/>
      <c r="E188" s="128"/>
      <c r="F188" s="128"/>
      <c r="G188" s="128"/>
      <c r="H188" s="128"/>
      <c r="I188" s="128"/>
      <c r="J188" s="128"/>
      <c r="K188" s="128"/>
      <c r="L188" s="128"/>
      <c r="M188" s="128"/>
      <c r="N188" s="128"/>
      <c r="O188" s="128"/>
      <c r="P188" s="128"/>
      <c r="Q188" s="128" t="str">
        <f t="shared" si="43"/>
        <v/>
      </c>
      <c r="R188" s="185" t="str">
        <f t="shared" si="40"/>
        <v/>
      </c>
    </row>
    <row r="189" spans="1:31" hidden="1" outlineLevel="1" x14ac:dyDescent="0.25">
      <c r="A189" s="7" t="s">
        <v>438</v>
      </c>
      <c r="B189" s="5" t="s">
        <v>439</v>
      </c>
      <c r="C189" s="128"/>
      <c r="D189" s="128"/>
      <c r="E189" s="128"/>
      <c r="F189" s="128"/>
      <c r="G189" s="128"/>
      <c r="H189" s="128"/>
      <c r="I189" s="128"/>
      <c r="J189" s="128"/>
      <c r="K189" s="128"/>
      <c r="L189" s="128"/>
      <c r="M189" s="128"/>
      <c r="N189" s="128"/>
      <c r="O189" s="128"/>
      <c r="P189" s="128"/>
      <c r="Q189" s="128" t="str">
        <f t="shared" si="43"/>
        <v/>
      </c>
      <c r="R189" s="185" t="str">
        <f t="shared" si="40"/>
        <v/>
      </c>
    </row>
    <row r="190" spans="1:31" hidden="1" outlineLevel="1" x14ac:dyDescent="0.25">
      <c r="A190" s="7" t="s">
        <v>150</v>
      </c>
      <c r="B190" s="5" t="s">
        <v>440</v>
      </c>
      <c r="C190" s="128"/>
      <c r="D190" s="128"/>
      <c r="E190" s="128"/>
      <c r="F190" s="128"/>
      <c r="G190" s="128"/>
      <c r="H190" s="128"/>
      <c r="I190" s="128"/>
      <c r="J190" s="128"/>
      <c r="K190" s="128"/>
      <c r="L190" s="128"/>
      <c r="M190" s="128"/>
      <c r="N190" s="128"/>
      <c r="O190" s="128"/>
      <c r="P190" s="128"/>
      <c r="Q190" s="128" t="str">
        <f t="shared" si="43"/>
        <v/>
      </c>
      <c r="R190" s="185" t="str">
        <f t="shared" si="40"/>
        <v/>
      </c>
    </row>
    <row r="191" spans="1:31" hidden="1" outlineLevel="1" x14ac:dyDescent="0.25">
      <c r="A191" s="7" t="s">
        <v>151</v>
      </c>
      <c r="B191" s="5" t="s">
        <v>441</v>
      </c>
      <c r="C191" s="128"/>
      <c r="D191" s="128"/>
      <c r="E191" s="128"/>
      <c r="F191" s="128"/>
      <c r="G191" s="128"/>
      <c r="H191" s="128"/>
      <c r="I191" s="128"/>
      <c r="J191" s="128"/>
      <c r="K191" s="128"/>
      <c r="L191" s="128"/>
      <c r="M191" s="128"/>
      <c r="N191" s="128"/>
      <c r="O191" s="128"/>
      <c r="P191" s="128"/>
      <c r="Q191" s="128" t="str">
        <f t="shared" si="43"/>
        <v/>
      </c>
      <c r="R191" s="185" t="str">
        <f t="shared" si="40"/>
        <v/>
      </c>
    </row>
    <row r="192" spans="1:31" hidden="1" outlineLevel="1" x14ac:dyDescent="0.25">
      <c r="A192" s="7" t="s">
        <v>152</v>
      </c>
      <c r="B192" s="5" t="s">
        <v>442</v>
      </c>
      <c r="C192" s="128"/>
      <c r="D192" s="128"/>
      <c r="E192" s="128"/>
      <c r="F192" s="128"/>
      <c r="G192" s="128"/>
      <c r="H192" s="128"/>
      <c r="I192" s="128"/>
      <c r="J192" s="128"/>
      <c r="K192" s="128"/>
      <c r="L192" s="128"/>
      <c r="M192" s="128"/>
      <c r="N192" s="128"/>
      <c r="O192" s="128"/>
      <c r="P192" s="128"/>
      <c r="Q192" s="128" t="str">
        <f t="shared" si="43"/>
        <v/>
      </c>
      <c r="R192" s="185" t="str">
        <f t="shared" si="40"/>
        <v/>
      </c>
    </row>
    <row r="193" spans="1:18" hidden="1" outlineLevel="1" x14ac:dyDescent="0.25">
      <c r="A193" s="7" t="s">
        <v>443</v>
      </c>
      <c r="B193" s="5" t="s">
        <v>444</v>
      </c>
      <c r="C193" s="128"/>
      <c r="D193" s="128"/>
      <c r="E193" s="128"/>
      <c r="F193" s="128"/>
      <c r="G193" s="128"/>
      <c r="H193" s="128"/>
      <c r="I193" s="128"/>
      <c r="J193" s="128"/>
      <c r="K193" s="128"/>
      <c r="L193" s="128"/>
      <c r="M193" s="128"/>
      <c r="N193" s="128"/>
      <c r="O193" s="128"/>
      <c r="P193" s="128"/>
      <c r="Q193" s="128" t="str">
        <f t="shared" si="43"/>
        <v/>
      </c>
      <c r="R193" s="185" t="str">
        <f t="shared" si="40"/>
        <v/>
      </c>
    </row>
    <row r="194" spans="1:18" hidden="1" outlineLevel="1" x14ac:dyDescent="0.25">
      <c r="A194" s="7" t="s">
        <v>445</v>
      </c>
      <c r="B194" s="5" t="s">
        <v>446</v>
      </c>
      <c r="C194" s="128"/>
      <c r="D194" s="128"/>
      <c r="E194" s="128"/>
      <c r="F194" s="128"/>
      <c r="G194" s="128"/>
      <c r="H194" s="128"/>
      <c r="I194" s="128"/>
      <c r="J194" s="128"/>
      <c r="K194" s="128"/>
      <c r="L194" s="128"/>
      <c r="M194" s="128"/>
      <c r="N194" s="128"/>
      <c r="O194" s="128"/>
      <c r="P194" s="128"/>
      <c r="Q194" s="128" t="str">
        <f t="shared" si="43"/>
        <v/>
      </c>
      <c r="R194" s="185" t="str">
        <f t="shared" si="40"/>
        <v/>
      </c>
    </row>
    <row r="195" spans="1:18" hidden="1" outlineLevel="1" x14ac:dyDescent="0.25">
      <c r="A195" s="7" t="s">
        <v>447</v>
      </c>
      <c r="B195" s="5" t="s">
        <v>448</v>
      </c>
      <c r="C195" s="128"/>
      <c r="D195" s="128"/>
      <c r="E195" s="128"/>
      <c r="F195" s="128"/>
      <c r="G195" s="128"/>
      <c r="H195" s="128"/>
      <c r="I195" s="128"/>
      <c r="J195" s="128"/>
      <c r="K195" s="128"/>
      <c r="L195" s="128"/>
      <c r="M195" s="128"/>
      <c r="N195" s="128"/>
      <c r="O195" s="128"/>
      <c r="P195" s="128"/>
      <c r="Q195" s="128" t="str">
        <f t="shared" si="43"/>
        <v/>
      </c>
      <c r="R195" s="185" t="str">
        <f t="shared" si="40"/>
        <v/>
      </c>
    </row>
    <row r="196" spans="1:18" hidden="1" outlineLevel="1" x14ac:dyDescent="0.25">
      <c r="A196" s="7" t="s">
        <v>449</v>
      </c>
      <c r="B196" s="5" t="s">
        <v>450</v>
      </c>
      <c r="C196" s="128"/>
      <c r="D196" s="128"/>
      <c r="E196" s="128"/>
      <c r="F196" s="128"/>
      <c r="G196" s="128"/>
      <c r="H196" s="128"/>
      <c r="I196" s="128"/>
      <c r="J196" s="128"/>
      <c r="K196" s="128"/>
      <c r="L196" s="128"/>
      <c r="M196" s="128"/>
      <c r="N196" s="128"/>
      <c r="O196" s="128"/>
      <c r="P196" s="128"/>
      <c r="Q196" s="128" t="str">
        <f t="shared" si="43"/>
        <v/>
      </c>
      <c r="R196" s="185" t="str">
        <f t="shared" si="40"/>
        <v/>
      </c>
    </row>
    <row r="197" spans="1:18" hidden="1" outlineLevel="1" x14ac:dyDescent="0.25">
      <c r="A197" s="7" t="s">
        <v>451</v>
      </c>
      <c r="B197" s="5" t="s">
        <v>452</v>
      </c>
      <c r="C197" s="128"/>
      <c r="D197" s="128"/>
      <c r="E197" s="128"/>
      <c r="F197" s="128"/>
      <c r="G197" s="128"/>
      <c r="H197" s="128"/>
      <c r="I197" s="128"/>
      <c r="J197" s="128"/>
      <c r="K197" s="128"/>
      <c r="L197" s="128"/>
      <c r="M197" s="128"/>
      <c r="N197" s="128"/>
      <c r="O197" s="128"/>
      <c r="P197" s="128"/>
      <c r="Q197" s="128" t="str">
        <f t="shared" si="43"/>
        <v/>
      </c>
      <c r="R197" s="185" t="str">
        <f t="shared" si="40"/>
        <v/>
      </c>
    </row>
    <row r="198" spans="1:18" hidden="1" outlineLevel="1" x14ac:dyDescent="0.25">
      <c r="A198" s="7" t="s">
        <v>453</v>
      </c>
      <c r="B198" s="5" t="s">
        <v>454</v>
      </c>
      <c r="C198" s="128"/>
      <c r="D198" s="128"/>
      <c r="E198" s="128"/>
      <c r="F198" s="128"/>
      <c r="G198" s="128"/>
      <c r="H198" s="128"/>
      <c r="I198" s="128"/>
      <c r="J198" s="128"/>
      <c r="K198" s="128"/>
      <c r="L198" s="128"/>
      <c r="M198" s="128"/>
      <c r="N198" s="128"/>
      <c r="O198" s="128"/>
      <c r="P198" s="128"/>
      <c r="Q198" s="128" t="str">
        <f t="shared" si="43"/>
        <v/>
      </c>
      <c r="R198" s="185" t="str">
        <f t="shared" si="40"/>
        <v/>
      </c>
    </row>
    <row r="199" spans="1:18" hidden="1" outlineLevel="1" x14ac:dyDescent="0.25">
      <c r="A199" s="7" t="s">
        <v>455</v>
      </c>
      <c r="B199" s="5" t="s">
        <v>456</v>
      </c>
      <c r="C199" s="128"/>
      <c r="D199" s="128"/>
      <c r="E199" s="128"/>
      <c r="F199" s="128"/>
      <c r="G199" s="128"/>
      <c r="H199" s="128"/>
      <c r="I199" s="128"/>
      <c r="J199" s="128"/>
      <c r="K199" s="128"/>
      <c r="L199" s="128"/>
      <c r="M199" s="128"/>
      <c r="N199" s="128"/>
      <c r="O199" s="128"/>
      <c r="P199" s="128"/>
      <c r="Q199" s="128" t="str">
        <f t="shared" si="43"/>
        <v/>
      </c>
      <c r="R199" s="185" t="str">
        <f t="shared" si="40"/>
        <v/>
      </c>
    </row>
    <row r="200" spans="1:18" hidden="1" outlineLevel="1" x14ac:dyDescent="0.25">
      <c r="A200" s="7" t="s">
        <v>457</v>
      </c>
      <c r="B200" s="5" t="s">
        <v>458</v>
      </c>
      <c r="C200" s="128"/>
      <c r="D200" s="128"/>
      <c r="E200" s="128"/>
      <c r="F200" s="128"/>
      <c r="G200" s="128"/>
      <c r="H200" s="128"/>
      <c r="I200" s="128"/>
      <c r="J200" s="128"/>
      <c r="K200" s="128"/>
      <c r="L200" s="128"/>
      <c r="M200" s="128"/>
      <c r="N200" s="128"/>
      <c r="O200" s="128"/>
      <c r="P200" s="128"/>
      <c r="Q200" s="128" t="str">
        <f t="shared" si="43"/>
        <v/>
      </c>
      <c r="R200" s="185" t="str">
        <f t="shared" si="40"/>
        <v/>
      </c>
    </row>
    <row r="201" spans="1:18" hidden="1" outlineLevel="1" x14ac:dyDescent="0.25">
      <c r="A201" s="7" t="s">
        <v>459</v>
      </c>
      <c r="B201" s="5" t="s">
        <v>460</v>
      </c>
      <c r="C201" s="128"/>
      <c r="D201" s="128"/>
      <c r="E201" s="128"/>
      <c r="F201" s="128"/>
      <c r="G201" s="128"/>
      <c r="H201" s="128"/>
      <c r="I201" s="128"/>
      <c r="J201" s="128"/>
      <c r="K201" s="128"/>
      <c r="L201" s="128"/>
      <c r="M201" s="128"/>
      <c r="N201" s="128"/>
      <c r="O201" s="128"/>
      <c r="P201" s="128"/>
      <c r="Q201" s="128" t="str">
        <f t="shared" si="43"/>
        <v/>
      </c>
      <c r="R201" s="185" t="str">
        <f t="shared" si="40"/>
        <v/>
      </c>
    </row>
    <row r="202" spans="1:18" hidden="1" outlineLevel="1" x14ac:dyDescent="0.25">
      <c r="A202" s="7" t="s">
        <v>461</v>
      </c>
      <c r="B202" s="5" t="s">
        <v>462</v>
      </c>
      <c r="C202" s="128"/>
      <c r="D202" s="128"/>
      <c r="E202" s="128"/>
      <c r="F202" s="128"/>
      <c r="G202" s="128"/>
      <c r="H202" s="128"/>
      <c r="I202" s="128"/>
      <c r="J202" s="128"/>
      <c r="K202" s="128"/>
      <c r="L202" s="128"/>
      <c r="M202" s="128"/>
      <c r="N202" s="128"/>
      <c r="O202" s="128"/>
      <c r="P202" s="128"/>
      <c r="Q202" s="128" t="str">
        <f t="shared" si="43"/>
        <v/>
      </c>
      <c r="R202" s="185" t="str">
        <f t="shared" si="40"/>
        <v/>
      </c>
    </row>
    <row r="203" spans="1:18" hidden="1" outlineLevel="1" x14ac:dyDescent="0.25">
      <c r="A203" s="7" t="s">
        <v>463</v>
      </c>
      <c r="B203" s="5" t="s">
        <v>464</v>
      </c>
      <c r="C203" s="128"/>
      <c r="D203" s="128"/>
      <c r="E203" s="128"/>
      <c r="F203" s="128"/>
      <c r="G203" s="128"/>
      <c r="H203" s="128"/>
      <c r="I203" s="128"/>
      <c r="J203" s="128"/>
      <c r="K203" s="128"/>
      <c r="L203" s="128"/>
      <c r="M203" s="128"/>
      <c r="N203" s="128"/>
      <c r="O203" s="128"/>
      <c r="P203" s="128"/>
      <c r="Q203" s="128" t="str">
        <f t="shared" si="43"/>
        <v/>
      </c>
      <c r="R203" s="185" t="str">
        <f t="shared" si="40"/>
        <v/>
      </c>
    </row>
    <row r="204" spans="1:18" hidden="1" outlineLevel="1" x14ac:dyDescent="0.25">
      <c r="A204" s="7" t="s">
        <v>465</v>
      </c>
      <c r="B204" s="5" t="s">
        <v>466</v>
      </c>
      <c r="C204" s="128"/>
      <c r="D204" s="128"/>
      <c r="E204" s="128"/>
      <c r="F204" s="128"/>
      <c r="G204" s="128"/>
      <c r="H204" s="128"/>
      <c r="I204" s="128"/>
      <c r="J204" s="128"/>
      <c r="K204" s="128"/>
      <c r="L204" s="128"/>
      <c r="M204" s="128"/>
      <c r="N204" s="128"/>
      <c r="O204" s="128"/>
      <c r="P204" s="128"/>
      <c r="Q204" s="128" t="str">
        <f t="shared" si="43"/>
        <v/>
      </c>
      <c r="R204" s="185" t="str">
        <f t="shared" si="40"/>
        <v/>
      </c>
    </row>
    <row r="205" spans="1:18" ht="15.75" hidden="1" outlineLevel="1" thickBot="1" x14ac:dyDescent="0.3">
      <c r="A205" s="7" t="s">
        <v>467</v>
      </c>
      <c r="B205" s="5" t="s">
        <v>468</v>
      </c>
      <c r="C205" s="128"/>
      <c r="D205" s="128"/>
      <c r="E205" s="128"/>
      <c r="F205" s="128"/>
      <c r="G205" s="128"/>
      <c r="H205" s="128"/>
      <c r="I205" s="128"/>
      <c r="J205" s="128"/>
      <c r="K205" s="128"/>
      <c r="L205" s="128"/>
      <c r="M205" s="128"/>
      <c r="N205" s="128"/>
      <c r="O205" s="128"/>
      <c r="P205" s="128"/>
      <c r="Q205" s="128" t="str">
        <f t="shared" si="43"/>
        <v/>
      </c>
      <c r="R205" s="185" t="str">
        <f t="shared" si="40"/>
        <v/>
      </c>
    </row>
    <row r="206" spans="1:18" s="121" customFormat="1" collapsed="1" x14ac:dyDescent="0.25">
      <c r="A206" s="6" t="s">
        <v>153</v>
      </c>
      <c r="B206" s="3" t="s">
        <v>154</v>
      </c>
      <c r="C206" s="130">
        <f t="shared" ref="C206:P206" si="52">SUM(C188:C205)</f>
        <v>0</v>
      </c>
      <c r="D206" s="130">
        <f t="shared" si="52"/>
        <v>0</v>
      </c>
      <c r="E206" s="130">
        <f t="shared" si="52"/>
        <v>0</v>
      </c>
      <c r="F206" s="130">
        <f t="shared" si="52"/>
        <v>0</v>
      </c>
      <c r="G206" s="130">
        <f t="shared" si="52"/>
        <v>0</v>
      </c>
      <c r="H206" s="130">
        <f t="shared" si="52"/>
        <v>0</v>
      </c>
      <c r="I206" s="130">
        <f t="shared" si="52"/>
        <v>0</v>
      </c>
      <c r="J206" s="130">
        <f t="shared" si="52"/>
        <v>0</v>
      </c>
      <c r="K206" s="130">
        <f t="shared" si="52"/>
        <v>0</v>
      </c>
      <c r="L206" s="130">
        <f t="shared" si="52"/>
        <v>0</v>
      </c>
      <c r="M206" s="130">
        <f t="shared" si="52"/>
        <v>0</v>
      </c>
      <c r="N206" s="130">
        <f t="shared" si="52"/>
        <v>0</v>
      </c>
      <c r="O206" s="130">
        <f t="shared" si="52"/>
        <v>0</v>
      </c>
      <c r="P206" s="130">
        <f t="shared" si="52"/>
        <v>0</v>
      </c>
      <c r="Q206" s="130">
        <f t="shared" si="43"/>
        <v>0</v>
      </c>
      <c r="R206" s="185" t="str">
        <f t="shared" si="40"/>
        <v/>
      </c>
    </row>
    <row r="207" spans="1:18" x14ac:dyDescent="0.25">
      <c r="A207" s="1"/>
      <c r="B207" s="5"/>
      <c r="C207" s="135"/>
      <c r="D207" s="135"/>
      <c r="E207" s="135"/>
      <c r="F207" s="135"/>
      <c r="G207" s="135"/>
      <c r="H207" s="135"/>
      <c r="I207" s="135"/>
      <c r="J207" s="135"/>
      <c r="K207" s="135"/>
      <c r="L207" s="135"/>
      <c r="M207" s="135"/>
      <c r="N207" s="135"/>
      <c r="O207" s="135"/>
      <c r="P207" s="135"/>
      <c r="Q207" s="135" t="str">
        <f t="shared" si="43"/>
        <v/>
      </c>
      <c r="R207" s="185" t="str">
        <f t="shared" si="40"/>
        <v/>
      </c>
    </row>
    <row r="208" spans="1:18" ht="15.75" thickBot="1" x14ac:dyDescent="0.3">
      <c r="A208" s="1" t="s">
        <v>155</v>
      </c>
      <c r="B208" s="5" t="s">
        <v>156</v>
      </c>
      <c r="C208" s="128"/>
      <c r="D208" s="128"/>
      <c r="E208" s="128"/>
      <c r="F208" s="128"/>
      <c r="G208" s="128"/>
      <c r="H208" s="128"/>
      <c r="I208" s="128"/>
      <c r="J208" s="128"/>
      <c r="K208" s="128"/>
      <c r="L208" s="128"/>
      <c r="M208" s="128"/>
      <c r="N208" s="128"/>
      <c r="O208" s="128"/>
      <c r="P208" s="128"/>
      <c r="Q208" s="128" t="str">
        <f t="shared" si="43"/>
        <v/>
      </c>
      <c r="R208" s="185" t="str">
        <f t="shared" si="40"/>
        <v/>
      </c>
    </row>
    <row r="209" spans="1:28" hidden="1" outlineLevel="1" x14ac:dyDescent="0.25">
      <c r="A209" s="188" t="s">
        <v>534</v>
      </c>
      <c r="B209" s="5" t="s">
        <v>535</v>
      </c>
      <c r="C209" s="128">
        <v>-34074</v>
      </c>
      <c r="D209" s="128">
        <f>VLOOKUP($A$209,Distributions!$A$4:$F$14,6,FALSE)</f>
        <v>-2839.5</v>
      </c>
      <c r="E209" s="128">
        <f>VLOOKUP($A$209,Distributions!$A$4:$F$14,6,FALSE)</f>
        <v>-2839.5</v>
      </c>
      <c r="F209" s="128">
        <f>VLOOKUP($A$209,Distributions!$A$4:$F$14,6,FALSE)</f>
        <v>-2839.5</v>
      </c>
      <c r="G209" s="128">
        <f>VLOOKUP($A$209,Distributions!$A$4:$F$14,6,FALSE)</f>
        <v>-2839.5</v>
      </c>
      <c r="H209" s="128">
        <f>VLOOKUP($A$209,Distributions!$A$4:$F$14,6,FALSE)</f>
        <v>-2839.5</v>
      </c>
      <c r="I209" s="128">
        <f>VLOOKUP($A$209,Distributions!$A$4:$F$14,6,FALSE)</f>
        <v>-2839.5</v>
      </c>
      <c r="J209" s="128">
        <f>VLOOKUP($A$209,Distributions!$A$4:$F$14,6,FALSE)</f>
        <v>-2839.5</v>
      </c>
      <c r="K209" s="128">
        <f>VLOOKUP($A$209,Distributions!$A$4:$F$14,6,FALSE)</f>
        <v>-2839.5</v>
      </c>
      <c r="L209" s="128">
        <f>VLOOKUP($A$209,Distributions!$A$4:$F$14,6,FALSE)</f>
        <v>-2839.5</v>
      </c>
      <c r="M209" s="128">
        <f>VLOOKUP($A$209,Distributions!$A$4:$F$14,6,FALSE)</f>
        <v>-2839.5</v>
      </c>
      <c r="N209" s="128">
        <f>VLOOKUP($A$209,Distributions!$A$4:$F$14,6,FALSE)</f>
        <v>-2839.5</v>
      </c>
      <c r="O209" s="128">
        <f>VLOOKUP($A$209,Distributions!$A$4:$F$14,6,FALSE)</f>
        <v>-2839.5</v>
      </c>
      <c r="P209" s="128">
        <f t="shared" ref="P209:P219" si="53">SUM(D209:O209)</f>
        <v>-34074</v>
      </c>
      <c r="Q209" s="128">
        <f t="shared" si="43"/>
        <v>0</v>
      </c>
      <c r="R209" s="185">
        <f t="shared" si="40"/>
        <v>0</v>
      </c>
      <c r="S209" s="140"/>
      <c r="T209" s="140"/>
      <c r="U209" s="140"/>
      <c r="V209" s="140"/>
      <c r="W209" s="140"/>
      <c r="X209" s="140"/>
      <c r="Y209" s="140"/>
      <c r="Z209" s="140"/>
      <c r="AA209" s="140"/>
      <c r="AB209" s="140"/>
    </row>
    <row r="210" spans="1:28" hidden="1" outlineLevel="1" x14ac:dyDescent="0.25">
      <c r="A210" s="188" t="s">
        <v>536</v>
      </c>
      <c r="B210" s="5" t="s">
        <v>537</v>
      </c>
      <c r="C210" s="128">
        <v>-17028</v>
      </c>
      <c r="D210" s="128">
        <f>VLOOKUP($A$210,Distributions!$A$4:$F$14,6,FALSE)</f>
        <v>-1419</v>
      </c>
      <c r="E210" s="128">
        <f>VLOOKUP($A$210,Distributions!$A$4:$F$14,6,FALSE)</f>
        <v>-1419</v>
      </c>
      <c r="F210" s="128">
        <f>VLOOKUP($A$210,Distributions!$A$4:$F$14,6,FALSE)</f>
        <v>-1419</v>
      </c>
      <c r="G210" s="128">
        <f>VLOOKUP($A$210,Distributions!$A$4:$F$14,6,FALSE)</f>
        <v>-1419</v>
      </c>
      <c r="H210" s="128">
        <f>VLOOKUP($A$210,Distributions!$A$4:$F$14,6,FALSE)</f>
        <v>-1419</v>
      </c>
      <c r="I210" s="128">
        <f>VLOOKUP($A$210,Distributions!$A$4:$F$14,6,FALSE)</f>
        <v>-1419</v>
      </c>
      <c r="J210" s="128">
        <f>VLOOKUP($A$210,Distributions!$A$4:$F$14,6,FALSE)</f>
        <v>-1419</v>
      </c>
      <c r="K210" s="128">
        <f>VLOOKUP($A$210,Distributions!$A$4:$F$14,6,FALSE)</f>
        <v>-1419</v>
      </c>
      <c r="L210" s="128">
        <f>VLOOKUP($A$210,Distributions!$A$4:$F$14,6,FALSE)</f>
        <v>-1419</v>
      </c>
      <c r="M210" s="128">
        <f>VLOOKUP($A$210,Distributions!$A$4:$F$14,6,FALSE)</f>
        <v>-1419</v>
      </c>
      <c r="N210" s="128">
        <f>VLOOKUP($A$210,Distributions!$A$4:$F$14,6,FALSE)</f>
        <v>-1419</v>
      </c>
      <c r="O210" s="128">
        <f>VLOOKUP($A$210,Distributions!$A$4:$F$14,6,FALSE)</f>
        <v>-1419</v>
      </c>
      <c r="P210" s="128">
        <f t="shared" si="53"/>
        <v>-17028</v>
      </c>
      <c r="Q210" s="128">
        <f t="shared" si="43"/>
        <v>0</v>
      </c>
      <c r="R210" s="185">
        <f t="shared" si="40"/>
        <v>0</v>
      </c>
      <c r="S210" s="140"/>
      <c r="T210" s="140"/>
      <c r="U210" s="140"/>
      <c r="V210" s="140"/>
      <c r="W210" s="140"/>
      <c r="X210" s="140"/>
      <c r="Y210" s="140"/>
      <c r="Z210" s="140"/>
      <c r="AA210" s="140"/>
      <c r="AB210" s="140"/>
    </row>
    <row r="211" spans="1:28" hidden="1" outlineLevel="1" x14ac:dyDescent="0.25">
      <c r="A211" s="188" t="s">
        <v>538</v>
      </c>
      <c r="B211" s="5" t="s">
        <v>539</v>
      </c>
      <c r="C211" s="128">
        <v>-51192</v>
      </c>
      <c r="D211" s="128">
        <f>VLOOKUP($A$211,Distributions!$A$4:$F$14,6,FALSE)</f>
        <v>-4266</v>
      </c>
      <c r="E211" s="128">
        <f>VLOOKUP($A$211,Distributions!$A$4:$F$14,6,FALSE)</f>
        <v>-4266</v>
      </c>
      <c r="F211" s="128">
        <f>VLOOKUP($A$211,Distributions!$A$4:$F$14,6,FALSE)</f>
        <v>-4266</v>
      </c>
      <c r="G211" s="128">
        <f>VLOOKUP($A$211,Distributions!$A$4:$F$14,6,FALSE)</f>
        <v>-4266</v>
      </c>
      <c r="H211" s="128">
        <f>VLOOKUP($A$211,Distributions!$A$4:$F$14,6,FALSE)</f>
        <v>-4266</v>
      </c>
      <c r="I211" s="128">
        <f>VLOOKUP($A$211,Distributions!$A$4:$F$14,6,FALSE)</f>
        <v>-4266</v>
      </c>
      <c r="J211" s="128">
        <f>VLOOKUP($A$211,Distributions!$A$4:$F$14,6,FALSE)</f>
        <v>-4266</v>
      </c>
      <c r="K211" s="128">
        <f>VLOOKUP($A$211,Distributions!$A$4:$F$14,6,FALSE)</f>
        <v>-4266</v>
      </c>
      <c r="L211" s="128">
        <f>VLOOKUP($A$211,Distributions!$A$4:$F$14,6,FALSE)</f>
        <v>-4266</v>
      </c>
      <c r="M211" s="128">
        <f>VLOOKUP($A$211,Distributions!$A$4:$F$14,6,FALSE)</f>
        <v>-4266</v>
      </c>
      <c r="N211" s="128">
        <f>VLOOKUP($A$211,Distributions!$A$4:$F$14,6,FALSE)</f>
        <v>-4266</v>
      </c>
      <c r="O211" s="128">
        <f>VLOOKUP($A$211,Distributions!$A$4:$F$14,6,FALSE)</f>
        <v>-4266</v>
      </c>
      <c r="P211" s="128">
        <f t="shared" si="53"/>
        <v>-51192</v>
      </c>
      <c r="Q211" s="128">
        <f t="shared" si="43"/>
        <v>0</v>
      </c>
      <c r="R211" s="185">
        <f t="shared" si="40"/>
        <v>0</v>
      </c>
      <c r="S211" s="140"/>
      <c r="T211" s="140"/>
      <c r="U211" s="140"/>
      <c r="V211" s="140"/>
      <c r="W211" s="140"/>
      <c r="X211" s="140"/>
      <c r="Y211" s="140"/>
      <c r="Z211" s="140"/>
      <c r="AA211" s="140"/>
      <c r="AB211" s="140"/>
    </row>
    <row r="212" spans="1:28" hidden="1" outlineLevel="1" x14ac:dyDescent="0.25">
      <c r="A212" s="188" t="s">
        <v>157</v>
      </c>
      <c r="B212" s="5" t="s">
        <v>540</v>
      </c>
      <c r="C212" s="128">
        <v>-36000</v>
      </c>
      <c r="D212" s="128">
        <f>VLOOKUP($A$212,Distributions!$A$4:$F$14,6,FALSE)</f>
        <v>-3000</v>
      </c>
      <c r="E212" s="128">
        <f>VLOOKUP($A$212,Distributions!$A$4:$F$14,6,FALSE)</f>
        <v>-3000</v>
      </c>
      <c r="F212" s="128">
        <f>VLOOKUP($A$212,Distributions!$A$4:$F$14,6,FALSE)</f>
        <v>-3000</v>
      </c>
      <c r="G212" s="128">
        <f>VLOOKUP($A$212,Distributions!$A$4:$F$14,6,FALSE)</f>
        <v>-3000</v>
      </c>
      <c r="H212" s="128">
        <f>VLOOKUP($A$212,Distributions!$A$4:$F$14,6,FALSE)</f>
        <v>-3000</v>
      </c>
      <c r="I212" s="128">
        <f>VLOOKUP($A$212,Distributions!$A$4:$F$14,6,FALSE)</f>
        <v>-3000</v>
      </c>
      <c r="J212" s="128">
        <f>VLOOKUP($A$212,Distributions!$A$4:$F$14,6,FALSE)</f>
        <v>-3000</v>
      </c>
      <c r="K212" s="128">
        <f>VLOOKUP($A$212,Distributions!$A$4:$F$14,6,FALSE)</f>
        <v>-3000</v>
      </c>
      <c r="L212" s="128">
        <f>VLOOKUP($A$212,Distributions!$A$4:$F$14,6,FALSE)</f>
        <v>-3000</v>
      </c>
      <c r="M212" s="128">
        <f>VLOOKUP($A$212,Distributions!$A$4:$F$14,6,FALSE)</f>
        <v>-3000</v>
      </c>
      <c r="N212" s="128">
        <f>VLOOKUP($A$212,Distributions!$A$4:$F$14,6,FALSE)</f>
        <v>-3000</v>
      </c>
      <c r="O212" s="128">
        <f>VLOOKUP($A$212,Distributions!$A$4:$F$14,6,FALSE)</f>
        <v>-3000</v>
      </c>
      <c r="P212" s="128">
        <f t="shared" si="53"/>
        <v>-36000</v>
      </c>
      <c r="Q212" s="128">
        <f t="shared" si="43"/>
        <v>0</v>
      </c>
      <c r="R212" s="185">
        <f t="shared" si="40"/>
        <v>0</v>
      </c>
      <c r="S212" s="140"/>
      <c r="T212" s="140"/>
      <c r="U212" s="140"/>
      <c r="V212" s="140"/>
      <c r="W212" s="140"/>
      <c r="X212" s="140"/>
      <c r="Y212" s="140"/>
      <c r="Z212" s="140"/>
      <c r="AA212" s="140"/>
      <c r="AB212" s="140"/>
    </row>
    <row r="213" spans="1:28" hidden="1" outlineLevel="1" x14ac:dyDescent="0.25">
      <c r="A213" s="188" t="s">
        <v>541</v>
      </c>
      <c r="B213" s="5" t="s">
        <v>542</v>
      </c>
      <c r="C213" s="128">
        <v>-51192</v>
      </c>
      <c r="D213" s="128">
        <f>VLOOKUP($A$213,Distributions!$A$4:$F$14,6,FALSE)</f>
        <v>-4266</v>
      </c>
      <c r="E213" s="128">
        <f>VLOOKUP($A$213,Distributions!$A$4:$F$14,6,FALSE)</f>
        <v>-4266</v>
      </c>
      <c r="F213" s="128">
        <f>VLOOKUP($A$213,Distributions!$A$4:$F$14,6,FALSE)</f>
        <v>-4266</v>
      </c>
      <c r="G213" s="128">
        <f>VLOOKUP($A$213,Distributions!$A$4:$F$14,6,FALSE)</f>
        <v>-4266</v>
      </c>
      <c r="H213" s="128">
        <f>VLOOKUP($A$213,Distributions!$A$4:$F$14,6,FALSE)</f>
        <v>-4266</v>
      </c>
      <c r="I213" s="128">
        <f>VLOOKUP($A$213,Distributions!$A$4:$F$14,6,FALSE)</f>
        <v>-4266</v>
      </c>
      <c r="J213" s="128">
        <f>VLOOKUP($A$213,Distributions!$A$4:$F$14,6,FALSE)</f>
        <v>-4266</v>
      </c>
      <c r="K213" s="128">
        <f>VLOOKUP($A$213,Distributions!$A$4:$F$14,6,FALSE)</f>
        <v>-4266</v>
      </c>
      <c r="L213" s="128">
        <f>VLOOKUP($A$213,Distributions!$A$4:$F$14,6,FALSE)</f>
        <v>-4266</v>
      </c>
      <c r="M213" s="128">
        <f>VLOOKUP($A$213,Distributions!$A$4:$F$14,6,FALSE)</f>
        <v>-4266</v>
      </c>
      <c r="N213" s="128">
        <f>VLOOKUP($A$213,Distributions!$A$4:$F$14,6,FALSE)</f>
        <v>-4266</v>
      </c>
      <c r="O213" s="128">
        <f>VLOOKUP($A$213,Distributions!$A$4:$F$14,6,FALSE)</f>
        <v>-4266</v>
      </c>
      <c r="P213" s="128">
        <f t="shared" si="53"/>
        <v>-51192</v>
      </c>
      <c r="Q213" s="128">
        <f t="shared" si="43"/>
        <v>0</v>
      </c>
      <c r="R213" s="185">
        <f t="shared" si="40"/>
        <v>0</v>
      </c>
      <c r="S213" s="140"/>
      <c r="T213" s="140"/>
      <c r="U213" s="140"/>
      <c r="V213" s="140"/>
      <c r="W213" s="140"/>
      <c r="X213" s="140"/>
      <c r="Y213" s="140"/>
      <c r="Z213" s="140"/>
      <c r="AA213" s="140"/>
      <c r="AB213" s="140"/>
    </row>
    <row r="214" spans="1:28" hidden="1" outlineLevel="1" x14ac:dyDescent="0.25">
      <c r="A214" s="188" t="s">
        <v>435</v>
      </c>
      <c r="B214" s="5" t="s">
        <v>543</v>
      </c>
      <c r="C214" s="128">
        <v>-17028</v>
      </c>
      <c r="D214" s="128">
        <f>VLOOKUP($A$214,Distributions!$A$4:$F$14,6,FALSE)</f>
        <v>-1419</v>
      </c>
      <c r="E214" s="128">
        <f>VLOOKUP($A$214,Distributions!$A$4:$F$14,6,FALSE)</f>
        <v>-1419</v>
      </c>
      <c r="F214" s="128">
        <f>VLOOKUP($A$214,Distributions!$A$4:$F$14,6,FALSE)</f>
        <v>-1419</v>
      </c>
      <c r="G214" s="128">
        <f>VLOOKUP($A$214,Distributions!$A$4:$F$14,6,FALSE)</f>
        <v>-1419</v>
      </c>
      <c r="H214" s="128">
        <f>VLOOKUP($A$214,Distributions!$A$4:$F$14,6,FALSE)</f>
        <v>-1419</v>
      </c>
      <c r="I214" s="128">
        <f>VLOOKUP($A$214,Distributions!$A$4:$F$14,6,FALSE)</f>
        <v>-1419</v>
      </c>
      <c r="J214" s="128">
        <f>VLOOKUP($A$214,Distributions!$A$4:$F$14,6,FALSE)</f>
        <v>-1419</v>
      </c>
      <c r="K214" s="128">
        <f>VLOOKUP($A$214,Distributions!$A$4:$F$14,6,FALSE)</f>
        <v>-1419</v>
      </c>
      <c r="L214" s="128">
        <f>VLOOKUP($A$214,Distributions!$A$4:$F$14,6,FALSE)</f>
        <v>-1419</v>
      </c>
      <c r="M214" s="128">
        <f>VLOOKUP($A$214,Distributions!$A$4:$F$14,6,FALSE)</f>
        <v>-1419</v>
      </c>
      <c r="N214" s="128">
        <f>VLOOKUP($A$214,Distributions!$A$4:$F$14,6,FALSE)</f>
        <v>-1419</v>
      </c>
      <c r="O214" s="128">
        <f>VLOOKUP($A$214,Distributions!$A$4:$F$14,6,FALSE)</f>
        <v>-1419</v>
      </c>
      <c r="P214" s="128">
        <f t="shared" si="53"/>
        <v>-17028</v>
      </c>
      <c r="Q214" s="128">
        <f t="shared" si="43"/>
        <v>0</v>
      </c>
      <c r="R214" s="185">
        <f t="shared" si="40"/>
        <v>0</v>
      </c>
      <c r="S214" s="140"/>
      <c r="T214" s="140"/>
      <c r="U214" s="140"/>
      <c r="V214" s="140"/>
      <c r="W214" s="140"/>
      <c r="X214" s="140"/>
      <c r="Y214" s="140"/>
      <c r="Z214" s="140"/>
      <c r="AA214" s="140"/>
      <c r="AB214" s="140"/>
    </row>
    <row r="215" spans="1:28" hidden="1" outlineLevel="1" x14ac:dyDescent="0.25">
      <c r="A215" s="188" t="s">
        <v>544</v>
      </c>
      <c r="B215" s="5" t="s">
        <v>545</v>
      </c>
      <c r="C215" s="128">
        <v>-17028</v>
      </c>
      <c r="D215" s="128">
        <f>VLOOKUP($A$215,Distributions!$A$4:$F$14,6,FALSE)</f>
        <v>-1419</v>
      </c>
      <c r="E215" s="128">
        <f>VLOOKUP($A$215,Distributions!$A$4:$F$14,6,FALSE)</f>
        <v>-1419</v>
      </c>
      <c r="F215" s="128">
        <f>VLOOKUP($A$215,Distributions!$A$4:$F$14,6,FALSE)</f>
        <v>-1419</v>
      </c>
      <c r="G215" s="128">
        <f>VLOOKUP($A$215,Distributions!$A$4:$F$14,6,FALSE)</f>
        <v>-1419</v>
      </c>
      <c r="H215" s="128">
        <f>VLOOKUP($A$215,Distributions!$A$4:$F$14,6,FALSE)</f>
        <v>-1419</v>
      </c>
      <c r="I215" s="128">
        <f>VLOOKUP($A$215,Distributions!$A$4:$F$14,6,FALSE)</f>
        <v>-1419</v>
      </c>
      <c r="J215" s="128">
        <f>VLOOKUP($A$215,Distributions!$A$4:$F$14,6,FALSE)</f>
        <v>-1419</v>
      </c>
      <c r="K215" s="128">
        <f>VLOOKUP($A$215,Distributions!$A$4:$F$14,6,FALSE)</f>
        <v>-1419</v>
      </c>
      <c r="L215" s="128">
        <f>VLOOKUP($A$215,Distributions!$A$4:$F$14,6,FALSE)</f>
        <v>-1419</v>
      </c>
      <c r="M215" s="128">
        <f>VLOOKUP($A$215,Distributions!$A$4:$F$14,6,FALSE)</f>
        <v>-1419</v>
      </c>
      <c r="N215" s="128">
        <f>VLOOKUP($A$215,Distributions!$A$4:$F$14,6,FALSE)</f>
        <v>-1419</v>
      </c>
      <c r="O215" s="128">
        <f>VLOOKUP($A$215,Distributions!$A$4:$F$14,6,FALSE)</f>
        <v>-1419</v>
      </c>
      <c r="P215" s="128">
        <f t="shared" si="53"/>
        <v>-17028</v>
      </c>
      <c r="Q215" s="128">
        <f t="shared" si="43"/>
        <v>0</v>
      </c>
      <c r="R215" s="185">
        <f t="shared" si="40"/>
        <v>0</v>
      </c>
      <c r="S215" s="140"/>
      <c r="T215" s="140"/>
      <c r="U215" s="140"/>
      <c r="V215" s="140"/>
      <c r="W215" s="140"/>
      <c r="X215" s="140"/>
      <c r="Y215" s="140"/>
      <c r="Z215" s="140"/>
      <c r="AA215" s="140"/>
      <c r="AB215" s="140"/>
    </row>
    <row r="216" spans="1:28" hidden="1" outlineLevel="1" x14ac:dyDescent="0.25">
      <c r="A216" s="188" t="s">
        <v>546</v>
      </c>
      <c r="B216" s="5" t="s">
        <v>547</v>
      </c>
      <c r="C216" s="128">
        <v>-34074</v>
      </c>
      <c r="D216" s="128">
        <f>VLOOKUP($A$216,Distributions!$A$4:$F$14,6,FALSE)</f>
        <v>-2839.5</v>
      </c>
      <c r="E216" s="128">
        <f>VLOOKUP($A$216,Distributions!$A$4:$F$14,6,FALSE)</f>
        <v>-2839.5</v>
      </c>
      <c r="F216" s="128">
        <f>VLOOKUP($A$216,Distributions!$A$4:$F$14,6,FALSE)</f>
        <v>-2839.5</v>
      </c>
      <c r="G216" s="128">
        <f>VLOOKUP($A$216,Distributions!$A$4:$F$14,6,FALSE)</f>
        <v>-2839.5</v>
      </c>
      <c r="H216" s="128">
        <f>VLOOKUP($A$216,Distributions!$A$4:$F$14,6,FALSE)</f>
        <v>-2839.5</v>
      </c>
      <c r="I216" s="128">
        <f>VLOOKUP($A$216,Distributions!$A$4:$F$14,6,FALSE)</f>
        <v>-2839.5</v>
      </c>
      <c r="J216" s="128">
        <f>VLOOKUP($A$216,Distributions!$A$4:$F$14,6,FALSE)</f>
        <v>-2839.5</v>
      </c>
      <c r="K216" s="128">
        <f>VLOOKUP($A$216,Distributions!$A$4:$F$14,6,FALSE)</f>
        <v>-2839.5</v>
      </c>
      <c r="L216" s="128">
        <f>VLOOKUP($A$216,Distributions!$A$4:$F$14,6,FALSE)</f>
        <v>-2839.5</v>
      </c>
      <c r="M216" s="128">
        <f>VLOOKUP($A$216,Distributions!$A$4:$F$14,6,FALSE)</f>
        <v>-2839.5</v>
      </c>
      <c r="N216" s="128">
        <f>VLOOKUP($A$216,Distributions!$A$4:$F$14,6,FALSE)</f>
        <v>-2839.5</v>
      </c>
      <c r="O216" s="128">
        <f>VLOOKUP($A$216,Distributions!$A$4:$F$14,6,FALSE)</f>
        <v>-2839.5</v>
      </c>
      <c r="P216" s="128">
        <f t="shared" si="53"/>
        <v>-34074</v>
      </c>
      <c r="Q216" s="128">
        <f t="shared" si="43"/>
        <v>0</v>
      </c>
      <c r="R216" s="185">
        <f t="shared" si="40"/>
        <v>0</v>
      </c>
      <c r="S216" s="140"/>
      <c r="T216" s="140"/>
      <c r="U216" s="140"/>
      <c r="V216" s="140"/>
      <c r="W216" s="140"/>
      <c r="X216" s="140"/>
      <c r="Y216" s="140"/>
      <c r="Z216" s="140"/>
      <c r="AA216" s="140"/>
      <c r="AB216" s="140"/>
    </row>
    <row r="217" spans="1:28" hidden="1" outlineLevel="1" x14ac:dyDescent="0.25">
      <c r="A217" s="188" t="s">
        <v>548</v>
      </c>
      <c r="B217" s="5" t="s">
        <v>549</v>
      </c>
      <c r="C217" s="128">
        <v>-25596</v>
      </c>
      <c r="D217" s="128">
        <f>VLOOKUP($A$217,Distributions!$A$4:$F$14,6,FALSE)</f>
        <v>-2133</v>
      </c>
      <c r="E217" s="128">
        <f>VLOOKUP($A$217,Distributions!$A$4:$F$14,6,FALSE)</f>
        <v>-2133</v>
      </c>
      <c r="F217" s="128">
        <f>VLOOKUP($A$217,Distributions!$A$4:$F$14,6,FALSE)</f>
        <v>-2133</v>
      </c>
      <c r="G217" s="128">
        <f>VLOOKUP($A$217,Distributions!$A$4:$F$14,6,FALSE)</f>
        <v>-2133</v>
      </c>
      <c r="H217" s="128">
        <f>VLOOKUP($A$217,Distributions!$A$4:$F$14,6,FALSE)</f>
        <v>-2133</v>
      </c>
      <c r="I217" s="128">
        <f>VLOOKUP($A$217,Distributions!$A$4:$F$14,6,FALSE)</f>
        <v>-2133</v>
      </c>
      <c r="J217" s="128">
        <f>VLOOKUP($A$217,Distributions!$A$4:$F$14,6,FALSE)</f>
        <v>-2133</v>
      </c>
      <c r="K217" s="128">
        <f>VLOOKUP($A$217,Distributions!$A$4:$F$14,6,FALSE)</f>
        <v>-2133</v>
      </c>
      <c r="L217" s="128">
        <f>VLOOKUP($A$217,Distributions!$A$4:$F$14,6,FALSE)</f>
        <v>-2133</v>
      </c>
      <c r="M217" s="128">
        <f>VLOOKUP($A$217,Distributions!$A$4:$F$14,6,FALSE)</f>
        <v>-2133</v>
      </c>
      <c r="N217" s="128">
        <f>VLOOKUP($A$217,Distributions!$A$4:$F$14,6,FALSE)</f>
        <v>-2133</v>
      </c>
      <c r="O217" s="128">
        <f>VLOOKUP($A$217,Distributions!$A$4:$F$14,6,FALSE)</f>
        <v>-2133</v>
      </c>
      <c r="P217" s="128">
        <f t="shared" si="53"/>
        <v>-25596</v>
      </c>
      <c r="Q217" s="128">
        <f t="shared" si="43"/>
        <v>0</v>
      </c>
      <c r="R217" s="185">
        <f t="shared" si="40"/>
        <v>0</v>
      </c>
      <c r="S217" s="140"/>
      <c r="T217" s="140"/>
      <c r="U217" s="140"/>
      <c r="V217" s="140"/>
      <c r="W217" s="140"/>
      <c r="X217" s="140"/>
      <c r="Y217" s="140"/>
      <c r="Z217" s="140"/>
      <c r="AA217" s="140"/>
      <c r="AB217" s="140"/>
    </row>
    <row r="218" spans="1:28" hidden="1" outlineLevel="1" x14ac:dyDescent="0.25">
      <c r="A218" s="188" t="s">
        <v>550</v>
      </c>
      <c r="B218" s="5" t="s">
        <v>551</v>
      </c>
      <c r="C218" s="128">
        <v>-25596</v>
      </c>
      <c r="D218" s="128">
        <f>VLOOKUP($A$218,Distributions!$A$4:$F$14,6,FALSE)</f>
        <v>-2133</v>
      </c>
      <c r="E218" s="128">
        <f>VLOOKUP($A$218,Distributions!$A$4:$F$14,6,FALSE)</f>
        <v>-2133</v>
      </c>
      <c r="F218" s="128">
        <f>VLOOKUP($A$218,Distributions!$A$4:$F$14,6,FALSE)</f>
        <v>-2133</v>
      </c>
      <c r="G218" s="128">
        <f>VLOOKUP($A$218,Distributions!$A$4:$F$14,6,FALSE)</f>
        <v>-2133</v>
      </c>
      <c r="H218" s="128">
        <f>VLOOKUP($A$218,Distributions!$A$4:$F$14,6,FALSE)</f>
        <v>-2133</v>
      </c>
      <c r="I218" s="128">
        <f>VLOOKUP($A$218,Distributions!$A$4:$F$14,6,FALSE)</f>
        <v>-2133</v>
      </c>
      <c r="J218" s="128">
        <f>VLOOKUP($A$218,Distributions!$A$4:$F$14,6,FALSE)</f>
        <v>-2133</v>
      </c>
      <c r="K218" s="128">
        <f>VLOOKUP($A$218,Distributions!$A$4:$F$14,6,FALSE)</f>
        <v>-2133</v>
      </c>
      <c r="L218" s="128">
        <f>VLOOKUP($A$218,Distributions!$A$4:$F$14,6,FALSE)</f>
        <v>-2133</v>
      </c>
      <c r="M218" s="128">
        <f>VLOOKUP($A$218,Distributions!$A$4:$F$14,6,FALSE)</f>
        <v>-2133</v>
      </c>
      <c r="N218" s="128">
        <f>VLOOKUP($A$218,Distributions!$A$4:$F$14,6,FALSE)</f>
        <v>-2133</v>
      </c>
      <c r="O218" s="128">
        <f>VLOOKUP($A$218,Distributions!$A$4:$F$14,6,FALSE)</f>
        <v>-2133</v>
      </c>
      <c r="P218" s="128">
        <f t="shared" si="53"/>
        <v>-25596</v>
      </c>
      <c r="Q218" s="128">
        <f t="shared" si="43"/>
        <v>0</v>
      </c>
      <c r="R218" s="185">
        <f t="shared" si="40"/>
        <v>0</v>
      </c>
      <c r="S218" s="140"/>
      <c r="T218" s="140"/>
      <c r="U218" s="140"/>
      <c r="V218" s="140"/>
      <c r="W218" s="140"/>
      <c r="X218" s="140"/>
      <c r="Y218" s="140"/>
      <c r="Z218" s="140"/>
      <c r="AA218" s="140"/>
      <c r="AB218" s="140"/>
    </row>
    <row r="219" spans="1:28" ht="15.75" hidden="1" outlineLevel="1" thickBot="1" x14ac:dyDescent="0.3">
      <c r="A219" s="188" t="s">
        <v>552</v>
      </c>
      <c r="B219" s="5" t="s">
        <v>553</v>
      </c>
      <c r="C219" s="128">
        <v>-51192</v>
      </c>
      <c r="D219" s="128">
        <f>VLOOKUP($A$219,Distributions!$A$4:$F$14,6,FALSE)</f>
        <v>-4266</v>
      </c>
      <c r="E219" s="128">
        <f>VLOOKUP($A$219,Distributions!$A$4:$F$14,6,FALSE)</f>
        <v>-4266</v>
      </c>
      <c r="F219" s="128">
        <f>VLOOKUP($A$219,Distributions!$A$4:$F$14,6,FALSE)</f>
        <v>-4266</v>
      </c>
      <c r="G219" s="128">
        <f>VLOOKUP($A$219,Distributions!$A$4:$F$14,6,FALSE)</f>
        <v>-4266</v>
      </c>
      <c r="H219" s="128">
        <f>VLOOKUP($A$219,Distributions!$A$4:$F$14,6,FALSE)</f>
        <v>-4266</v>
      </c>
      <c r="I219" s="128">
        <f>VLOOKUP($A$219,Distributions!$A$4:$F$14,6,FALSE)</f>
        <v>-4266</v>
      </c>
      <c r="J219" s="128">
        <f>VLOOKUP($A$219,Distributions!$A$4:$F$14,6,FALSE)</f>
        <v>-4266</v>
      </c>
      <c r="K219" s="128">
        <f>VLOOKUP($A$219,Distributions!$A$4:$F$14,6,FALSE)</f>
        <v>-4266</v>
      </c>
      <c r="L219" s="128">
        <f>VLOOKUP($A$219,Distributions!$A$4:$F$14,6,FALSE)</f>
        <v>-4266</v>
      </c>
      <c r="M219" s="128">
        <f>VLOOKUP($A$219,Distributions!$A$4:$F$14,6,FALSE)</f>
        <v>-4266</v>
      </c>
      <c r="N219" s="128">
        <f>VLOOKUP($A$219,Distributions!$A$4:$F$14,6,FALSE)</f>
        <v>-4266</v>
      </c>
      <c r="O219" s="128">
        <f>VLOOKUP($A$219,Distributions!$A$4:$F$14,6,FALSE)</f>
        <v>-4266</v>
      </c>
      <c r="P219" s="128">
        <f t="shared" si="53"/>
        <v>-51192</v>
      </c>
      <c r="Q219" s="128">
        <f t="shared" si="43"/>
        <v>0</v>
      </c>
      <c r="R219" s="185">
        <f t="shared" si="40"/>
        <v>0</v>
      </c>
      <c r="S219" s="140"/>
      <c r="T219" s="140"/>
      <c r="U219" s="140"/>
      <c r="V219" s="140"/>
      <c r="W219" s="140"/>
      <c r="X219" s="140"/>
      <c r="Y219" s="140"/>
      <c r="Z219" s="140"/>
      <c r="AA219" s="140"/>
      <c r="AB219" s="140"/>
    </row>
    <row r="220" spans="1:28" s="121" customFormat="1" collapsed="1" x14ac:dyDescent="0.25">
      <c r="A220" s="6" t="s">
        <v>158</v>
      </c>
      <c r="B220" s="3" t="s">
        <v>159</v>
      </c>
      <c r="C220" s="130">
        <f t="shared" ref="C220:P220" si="54">SUM(C209:C219)</f>
        <v>-360000</v>
      </c>
      <c r="D220" s="130">
        <f t="shared" si="54"/>
        <v>-30000</v>
      </c>
      <c r="E220" s="130">
        <f t="shared" si="54"/>
        <v>-30000</v>
      </c>
      <c r="F220" s="130">
        <f t="shared" si="54"/>
        <v>-30000</v>
      </c>
      <c r="G220" s="130">
        <f t="shared" si="54"/>
        <v>-30000</v>
      </c>
      <c r="H220" s="130">
        <f t="shared" si="54"/>
        <v>-30000</v>
      </c>
      <c r="I220" s="130">
        <f t="shared" si="54"/>
        <v>-30000</v>
      </c>
      <c r="J220" s="130">
        <f t="shared" si="54"/>
        <v>-30000</v>
      </c>
      <c r="K220" s="130">
        <f t="shared" si="54"/>
        <v>-30000</v>
      </c>
      <c r="L220" s="130">
        <f t="shared" si="54"/>
        <v>-30000</v>
      </c>
      <c r="M220" s="130">
        <f t="shared" si="54"/>
        <v>-30000</v>
      </c>
      <c r="N220" s="130">
        <f t="shared" si="54"/>
        <v>-30000</v>
      </c>
      <c r="O220" s="130">
        <f t="shared" si="54"/>
        <v>-30000</v>
      </c>
      <c r="P220" s="130">
        <f t="shared" si="54"/>
        <v>-360000</v>
      </c>
      <c r="Q220" s="130">
        <f t="shared" si="43"/>
        <v>0</v>
      </c>
      <c r="R220" s="185">
        <f t="shared" ref="R220:R225" si="55">IF(C220&lt;&gt;0,Q220/C220,"")</f>
        <v>0</v>
      </c>
    </row>
    <row r="221" spans="1:28" x14ac:dyDescent="0.25">
      <c r="A221" s="1"/>
      <c r="B221" s="5"/>
      <c r="C221" s="135"/>
      <c r="D221" s="135"/>
      <c r="F221" s="135"/>
      <c r="G221" s="135"/>
      <c r="H221" s="135"/>
      <c r="I221" s="135"/>
      <c r="J221" s="135"/>
      <c r="K221" s="135"/>
      <c r="L221" s="135"/>
      <c r="M221" s="135"/>
      <c r="N221" s="135"/>
      <c r="O221" s="135"/>
      <c r="P221" s="135"/>
      <c r="Q221" s="135" t="str">
        <f t="shared" si="43"/>
        <v/>
      </c>
      <c r="R221" s="185" t="str">
        <f t="shared" si="55"/>
        <v/>
      </c>
    </row>
    <row r="222" spans="1:28" ht="15.75" thickBot="1" x14ac:dyDescent="0.3">
      <c r="A222" s="1"/>
      <c r="B222" s="5"/>
      <c r="C222" s="133"/>
      <c r="D222" s="133"/>
      <c r="E222" s="133"/>
      <c r="F222" s="133"/>
      <c r="G222" s="133"/>
      <c r="H222" s="133"/>
      <c r="I222" s="133"/>
      <c r="J222" s="133"/>
      <c r="K222" s="133"/>
      <c r="L222" s="133"/>
      <c r="M222" s="133"/>
      <c r="N222" s="133"/>
      <c r="O222" s="133"/>
      <c r="P222" s="133"/>
      <c r="Q222" s="133" t="str">
        <f t="shared" si="43"/>
        <v/>
      </c>
      <c r="R222" s="185" t="str">
        <f t="shared" si="55"/>
        <v/>
      </c>
    </row>
    <row r="223" spans="1:28" s="121" customFormat="1" x14ac:dyDescent="0.25">
      <c r="A223" s="6"/>
      <c r="B223" s="3" t="s">
        <v>160</v>
      </c>
      <c r="C223" s="130">
        <f t="shared" ref="C223:P223" si="56">C180+C185+C206+C220</f>
        <v>-656085</v>
      </c>
      <c r="D223" s="130">
        <f t="shared" si="56"/>
        <v>24309.749999999993</v>
      </c>
      <c r="E223" s="130">
        <f t="shared" si="56"/>
        <v>-41760.01666666667</v>
      </c>
      <c r="F223" s="130">
        <f t="shared" si="56"/>
        <v>-28604.096666666668</v>
      </c>
      <c r="G223" s="130">
        <f t="shared" si="56"/>
        <v>37471.853333333333</v>
      </c>
      <c r="H223" s="130">
        <f t="shared" si="56"/>
        <v>-55265.260000000009</v>
      </c>
      <c r="I223" s="130">
        <f t="shared" si="56"/>
        <v>-42110.020000000004</v>
      </c>
      <c r="J223" s="130">
        <f t="shared" si="56"/>
        <v>23965.249999999993</v>
      </c>
      <c r="K223" s="130">
        <f t="shared" si="56"/>
        <v>-55439.22</v>
      </c>
      <c r="L223" s="130">
        <f t="shared" si="56"/>
        <v>-42284.66</v>
      </c>
      <c r="M223" s="130">
        <f t="shared" si="56"/>
        <v>23789.909999999996</v>
      </c>
      <c r="N223" s="130">
        <f t="shared" si="56"/>
        <v>-55615.25</v>
      </c>
      <c r="O223" s="130">
        <f t="shared" si="56"/>
        <v>-42461.39</v>
      </c>
      <c r="P223" s="130">
        <f t="shared" si="56"/>
        <v>-254003.15000000002</v>
      </c>
      <c r="Q223" s="130">
        <f t="shared" ref="Q223:Q225" si="57">IF(C223&lt;&gt;"",P223-C223,"")</f>
        <v>402081.85</v>
      </c>
      <c r="R223" s="185">
        <f t="shared" si="55"/>
        <v>-0.61285024044140624</v>
      </c>
    </row>
    <row r="224" spans="1:28" s="121" customFormat="1" ht="15.75" thickBot="1" x14ac:dyDescent="0.3">
      <c r="A224" s="6"/>
      <c r="B224" s="3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 t="str">
        <f t="shared" si="57"/>
        <v/>
      </c>
      <c r="R224" s="185" t="str">
        <f t="shared" si="55"/>
        <v/>
      </c>
    </row>
    <row r="225" spans="1:18" s="121" customFormat="1" x14ac:dyDescent="0.25">
      <c r="A225" s="6"/>
      <c r="B225" s="3" t="s">
        <v>161</v>
      </c>
      <c r="C225" s="130">
        <f t="shared" ref="C225:P225" si="58">SUM(C223,C161)</f>
        <v>-295865</v>
      </c>
      <c r="D225" s="130">
        <f t="shared" si="58"/>
        <v>6572.4299999999712</v>
      </c>
      <c r="E225" s="130">
        <f t="shared" si="58"/>
        <v>20343.303333333322</v>
      </c>
      <c r="F225" s="130">
        <f t="shared" si="58"/>
        <v>23341.403333333346</v>
      </c>
      <c r="G225" s="130">
        <f t="shared" si="58"/>
        <v>8829.5033333333122</v>
      </c>
      <c r="H225" s="130">
        <f t="shared" si="58"/>
        <v>-1399.1499999999942</v>
      </c>
      <c r="I225" s="130">
        <f t="shared" si="58"/>
        <v>-5513.1499999999942</v>
      </c>
      <c r="J225" s="130">
        <f t="shared" si="58"/>
        <v>8958.9499999999753</v>
      </c>
      <c r="K225" s="130">
        <f t="shared" si="58"/>
        <v>-1137.359999999986</v>
      </c>
      <c r="L225" s="130">
        <f t="shared" si="58"/>
        <v>22652.560000000012</v>
      </c>
      <c r="M225" s="130">
        <f t="shared" si="58"/>
        <v>9511.32</v>
      </c>
      <c r="N225" s="130">
        <f t="shared" si="58"/>
        <v>-585.67999999999302</v>
      </c>
      <c r="O225" s="130">
        <f t="shared" si="58"/>
        <v>21540.320000000014</v>
      </c>
      <c r="P225" s="130">
        <f t="shared" si="58"/>
        <v>98586.45000000007</v>
      </c>
      <c r="Q225" s="130">
        <f t="shared" si="57"/>
        <v>394451.45000000007</v>
      </c>
      <c r="R225" s="185">
        <f t="shared" si="55"/>
        <v>-1.3332143038209996</v>
      </c>
    </row>
    <row r="226" spans="1:18" s="121" customFormat="1" x14ac:dyDescent="0.25">
      <c r="A226" s="142"/>
      <c r="B226" s="142"/>
      <c r="C226" s="142"/>
      <c r="D226" s="142"/>
      <c r="E226" s="142"/>
      <c r="F226" s="142"/>
      <c r="G226" s="142"/>
      <c r="H226" s="142"/>
      <c r="I226" s="142"/>
      <c r="J226" s="142"/>
      <c r="K226" s="142"/>
      <c r="L226" s="142"/>
      <c r="M226" s="142"/>
      <c r="N226" s="142"/>
      <c r="O226" s="142"/>
      <c r="P226" s="142"/>
      <c r="Q226" s="142"/>
      <c r="R226" s="185"/>
    </row>
    <row r="227" spans="1:18" s="121" customFormat="1" hidden="1" x14ac:dyDescent="0.25">
      <c r="A227" s="6"/>
      <c r="B227" s="3" t="s">
        <v>389</v>
      </c>
      <c r="C227" s="138"/>
      <c r="D227" s="139"/>
      <c r="E227" s="139">
        <f>D228</f>
        <v>6572.4299999999712</v>
      </c>
      <c r="F227" s="139">
        <f t="shared" ref="F227:O227" si="59">E228</f>
        <v>26915.733333333294</v>
      </c>
      <c r="G227" s="139">
        <f t="shared" si="59"/>
        <v>50257.136666666644</v>
      </c>
      <c r="H227" s="139">
        <f t="shared" si="59"/>
        <v>59086.639999999956</v>
      </c>
      <c r="I227" s="139">
        <f t="shared" si="59"/>
        <v>57687.489999999962</v>
      </c>
      <c r="J227" s="139">
        <f t="shared" si="59"/>
        <v>52174.339999999967</v>
      </c>
      <c r="K227" s="139">
        <f t="shared" si="59"/>
        <v>61133.289999999943</v>
      </c>
      <c r="L227" s="139">
        <f t="shared" si="59"/>
        <v>59995.929999999957</v>
      </c>
      <c r="M227" s="139">
        <f t="shared" si="59"/>
        <v>82648.489999999962</v>
      </c>
      <c r="N227" s="139">
        <f t="shared" si="59"/>
        <v>92159.809999999969</v>
      </c>
      <c r="O227" s="139">
        <f t="shared" si="59"/>
        <v>91574.129999999976</v>
      </c>
      <c r="P227" s="138"/>
      <c r="Q227" s="138"/>
      <c r="R227" s="185"/>
    </row>
    <row r="228" spans="1:18" s="121" customFormat="1" hidden="1" x14ac:dyDescent="0.25">
      <c r="A228" s="6"/>
      <c r="B228" s="3" t="s">
        <v>390</v>
      </c>
      <c r="C228" s="139"/>
      <c r="D228" s="139">
        <f>D227+D225</f>
        <v>6572.4299999999712</v>
      </c>
      <c r="E228" s="139">
        <f>E227+E225</f>
        <v>26915.733333333294</v>
      </c>
      <c r="F228" s="139">
        <f t="shared" ref="F228:O228" si="60">F227+F225</f>
        <v>50257.136666666644</v>
      </c>
      <c r="G228" s="139">
        <f t="shared" si="60"/>
        <v>59086.639999999956</v>
      </c>
      <c r="H228" s="139">
        <f t="shared" si="60"/>
        <v>57687.489999999962</v>
      </c>
      <c r="I228" s="139">
        <f t="shared" si="60"/>
        <v>52174.339999999967</v>
      </c>
      <c r="J228" s="139">
        <f t="shared" si="60"/>
        <v>61133.289999999943</v>
      </c>
      <c r="K228" s="139">
        <f t="shared" si="60"/>
        <v>59995.929999999957</v>
      </c>
      <c r="L228" s="139">
        <f t="shared" si="60"/>
        <v>82648.489999999962</v>
      </c>
      <c r="M228" s="139">
        <f t="shared" si="60"/>
        <v>92159.809999999969</v>
      </c>
      <c r="N228" s="139">
        <f t="shared" si="60"/>
        <v>91574.129999999976</v>
      </c>
      <c r="O228" s="139">
        <f t="shared" si="60"/>
        <v>113114.44999999998</v>
      </c>
      <c r="P228" s="139"/>
      <c r="Q228" s="139"/>
      <c r="R228" s="185"/>
    </row>
    <row r="229" spans="1:18" s="121" customFormat="1" hidden="1" x14ac:dyDescent="0.25">
      <c r="A229" s="6"/>
      <c r="B229" s="3"/>
      <c r="C229" s="139"/>
      <c r="D229" s="134"/>
      <c r="E229" s="134"/>
      <c r="F229" s="134"/>
      <c r="G229" s="134"/>
      <c r="H229" s="134"/>
      <c r="I229" s="134"/>
      <c r="J229" s="134"/>
      <c r="K229" s="134"/>
      <c r="L229" s="134"/>
      <c r="M229" s="134"/>
      <c r="N229" s="134"/>
      <c r="O229" s="134"/>
      <c r="P229" s="139"/>
      <c r="Q229" s="139"/>
      <c r="R229" s="185"/>
    </row>
    <row r="230" spans="1:18" s="121" customFormat="1" x14ac:dyDescent="0.25">
      <c r="A230" s="6"/>
      <c r="B230" s="3"/>
      <c r="C230" s="139"/>
      <c r="D230" s="134"/>
      <c r="E230" s="134"/>
      <c r="F230" s="134"/>
      <c r="G230" s="134"/>
      <c r="H230" s="134"/>
      <c r="I230" s="134"/>
      <c r="J230" s="134"/>
      <c r="K230" s="134"/>
      <c r="L230" s="134"/>
      <c r="M230" s="134"/>
      <c r="N230" s="128"/>
      <c r="O230" s="128"/>
      <c r="P230" s="139"/>
      <c r="Q230" s="139"/>
      <c r="R230" s="185"/>
    </row>
    <row r="231" spans="1:18" x14ac:dyDescent="0.25">
      <c r="A231" s="1"/>
      <c r="B231" s="5"/>
      <c r="C231" s="129"/>
      <c r="D231" s="128"/>
      <c r="E231" s="128"/>
      <c r="F231" s="128"/>
      <c r="G231" s="128"/>
      <c r="H231" s="128"/>
      <c r="I231" s="128"/>
      <c r="J231" s="128"/>
      <c r="K231" s="128"/>
      <c r="L231" s="128"/>
      <c r="M231" s="128"/>
      <c r="N231" s="128"/>
      <c r="P231" s="129"/>
      <c r="Q231" s="129"/>
      <c r="R231" s="184"/>
    </row>
    <row r="232" spans="1:18" x14ac:dyDescent="0.25">
      <c r="A232" s="5"/>
      <c r="B232" s="5" t="s">
        <v>493</v>
      </c>
      <c r="C232" s="129"/>
      <c r="D232" s="128"/>
      <c r="E232" s="128"/>
      <c r="F232" s="128"/>
      <c r="G232" s="128"/>
      <c r="H232" s="128"/>
      <c r="I232" s="128"/>
      <c r="J232" s="128"/>
      <c r="K232" s="128"/>
      <c r="L232" s="128"/>
      <c r="M232" s="128"/>
      <c r="N232" s="128"/>
      <c r="P232" s="129"/>
      <c r="Q232" s="129"/>
      <c r="R232" s="184"/>
    </row>
    <row r="233" spans="1:18" ht="15.75" thickBot="1" x14ac:dyDescent="0.3">
      <c r="A233" s="1"/>
      <c r="B233" s="5" t="s">
        <v>555</v>
      </c>
      <c r="C233" s="129"/>
      <c r="D233" s="128">
        <v>-583.49</v>
      </c>
      <c r="E233" s="128">
        <f>D233</f>
        <v>-583.49</v>
      </c>
      <c r="F233" s="128">
        <f t="shared" ref="F233:O233" si="61">E233</f>
        <v>-583.49</v>
      </c>
      <c r="G233" s="128">
        <f t="shared" si="61"/>
        <v>-583.49</v>
      </c>
      <c r="H233" s="128">
        <f t="shared" si="61"/>
        <v>-583.49</v>
      </c>
      <c r="I233" s="128">
        <f t="shared" si="61"/>
        <v>-583.49</v>
      </c>
      <c r="J233" s="128">
        <f t="shared" si="61"/>
        <v>-583.49</v>
      </c>
      <c r="K233" s="128">
        <f t="shared" si="61"/>
        <v>-583.49</v>
      </c>
      <c r="L233" s="128">
        <f t="shared" si="61"/>
        <v>-583.49</v>
      </c>
      <c r="M233" s="128">
        <f t="shared" si="61"/>
        <v>-583.49</v>
      </c>
      <c r="N233" s="128">
        <f t="shared" si="61"/>
        <v>-583.49</v>
      </c>
      <c r="O233" s="128">
        <f t="shared" si="61"/>
        <v>-583.49</v>
      </c>
      <c r="P233" s="128">
        <f>SUM(D233:O233)</f>
        <v>-7001.8799999999983</v>
      </c>
      <c r="Q233" s="129"/>
      <c r="R233" s="184"/>
    </row>
    <row r="234" spans="1:18" ht="15.75" hidden="1" thickBot="1" x14ac:dyDescent="0.3">
      <c r="A234" s="166"/>
      <c r="B234" s="5"/>
      <c r="C234" s="129"/>
      <c r="D234" s="128"/>
      <c r="E234" s="128"/>
      <c r="F234" s="128"/>
      <c r="G234" s="128"/>
      <c r="H234" s="128"/>
      <c r="I234" s="128"/>
      <c r="J234" s="128"/>
      <c r="K234" s="128"/>
      <c r="L234" s="128"/>
      <c r="M234" s="128"/>
      <c r="N234" s="128"/>
      <c r="O234" s="128"/>
      <c r="P234" s="128">
        <f>SUM(D234:O234)</f>
        <v>0</v>
      </c>
      <c r="Q234" s="129"/>
      <c r="R234" s="184"/>
    </row>
    <row r="235" spans="1:18" ht="15.75" hidden="1" thickBot="1" x14ac:dyDescent="0.3">
      <c r="A235" s="166"/>
      <c r="B235" s="5"/>
      <c r="C235" s="129"/>
      <c r="D235" s="128"/>
      <c r="E235" s="128"/>
      <c r="F235" s="128"/>
      <c r="G235" s="128"/>
      <c r="H235" s="128"/>
      <c r="I235" s="128"/>
      <c r="J235" s="128"/>
      <c r="K235" s="128"/>
      <c r="L235" s="128"/>
      <c r="M235" s="128"/>
      <c r="N235" s="128"/>
      <c r="O235" s="128"/>
      <c r="P235" s="128">
        <f t="shared" ref="P235" si="62">SUM(D235:O235)</f>
        <v>0</v>
      </c>
      <c r="Q235" s="129"/>
      <c r="R235" s="184"/>
    </row>
    <row r="236" spans="1:18" ht="15.75" hidden="1" thickBot="1" x14ac:dyDescent="0.3">
      <c r="A236" s="5"/>
      <c r="B236" s="5"/>
      <c r="C236" s="139"/>
      <c r="D236" s="128"/>
      <c r="E236" s="128"/>
      <c r="F236" s="128"/>
      <c r="G236" s="128"/>
      <c r="H236" s="128"/>
      <c r="I236" s="128"/>
      <c r="J236" s="128"/>
      <c r="K236" s="128"/>
      <c r="L236" s="128"/>
      <c r="M236" s="128"/>
      <c r="N236" s="128"/>
      <c r="O236" s="128"/>
      <c r="P236" s="128">
        <f>SUM(D236:O236)</f>
        <v>0</v>
      </c>
      <c r="Q236" s="139"/>
      <c r="R236" s="185"/>
    </row>
    <row r="237" spans="1:18" x14ac:dyDescent="0.25">
      <c r="B237" s="3" t="s">
        <v>492</v>
      </c>
      <c r="C237"/>
      <c r="D237" s="130">
        <f t="shared" ref="D237:P237" si="63">SUM(D233:D236)</f>
        <v>-583.49</v>
      </c>
      <c r="E237" s="130">
        <f t="shared" si="63"/>
        <v>-583.49</v>
      </c>
      <c r="F237" s="130">
        <f t="shared" si="63"/>
        <v>-583.49</v>
      </c>
      <c r="G237" s="130">
        <f t="shared" si="63"/>
        <v>-583.49</v>
      </c>
      <c r="H237" s="130">
        <f t="shared" si="63"/>
        <v>-583.49</v>
      </c>
      <c r="I237" s="130">
        <f t="shared" si="63"/>
        <v>-583.49</v>
      </c>
      <c r="J237" s="130">
        <f t="shared" si="63"/>
        <v>-583.49</v>
      </c>
      <c r="K237" s="130">
        <f t="shared" si="63"/>
        <v>-583.49</v>
      </c>
      <c r="L237" s="130">
        <f t="shared" si="63"/>
        <v>-583.49</v>
      </c>
      <c r="M237" s="130">
        <f t="shared" si="63"/>
        <v>-583.49</v>
      </c>
      <c r="N237" s="130">
        <f t="shared" si="63"/>
        <v>-583.49</v>
      </c>
      <c r="O237" s="130">
        <f t="shared" si="63"/>
        <v>-583.49</v>
      </c>
      <c r="P237" s="130">
        <f t="shared" si="63"/>
        <v>-7001.8799999999983</v>
      </c>
      <c r="Q237"/>
    </row>
    <row r="238" spans="1:18" x14ac:dyDescent="0.25">
      <c r="A238" s="1"/>
      <c r="B238" s="3"/>
      <c r="C238" s="138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8"/>
      <c r="Q238" s="138"/>
      <c r="R238" s="185"/>
    </row>
    <row r="239" spans="1:18" x14ac:dyDescent="0.25">
      <c r="A239" s="1"/>
      <c r="B239" s="5"/>
      <c r="C239" s="129"/>
      <c r="D239" s="128"/>
      <c r="E239" s="128"/>
      <c r="F239" s="128"/>
      <c r="G239" s="128"/>
      <c r="H239" s="128"/>
      <c r="I239" s="128"/>
      <c r="J239" s="128"/>
      <c r="K239" s="128"/>
      <c r="L239" s="128"/>
      <c r="M239" s="128"/>
      <c r="N239" s="128"/>
      <c r="O239" s="128"/>
      <c r="P239" s="129"/>
      <c r="Q239" s="129"/>
      <c r="R239" s="184"/>
    </row>
    <row r="240" spans="1:18" x14ac:dyDescent="0.25">
      <c r="A240" s="122" t="s">
        <v>508</v>
      </c>
      <c r="B240" s="3" t="s">
        <v>494</v>
      </c>
      <c r="C240" s="129"/>
      <c r="D240" s="134">
        <f t="shared" ref="D240:P240" si="64">D225+D237</f>
        <v>5988.9399999999714</v>
      </c>
      <c r="E240" s="134">
        <f t="shared" si="64"/>
        <v>19759.813333333321</v>
      </c>
      <c r="F240" s="134">
        <f t="shared" si="64"/>
        <v>22757.913333333345</v>
      </c>
      <c r="G240" s="134">
        <f t="shared" si="64"/>
        <v>8246.0133333333124</v>
      </c>
      <c r="H240" s="134">
        <f t="shared" si="64"/>
        <v>-1982.6399999999942</v>
      </c>
      <c r="I240" s="134">
        <f t="shared" si="64"/>
        <v>-6096.639999999994</v>
      </c>
      <c r="J240" s="134">
        <f t="shared" si="64"/>
        <v>8375.4599999999755</v>
      </c>
      <c r="K240" s="134">
        <f t="shared" si="64"/>
        <v>-1720.849999999986</v>
      </c>
      <c r="L240" s="134">
        <f t="shared" si="64"/>
        <v>22069.070000000011</v>
      </c>
      <c r="M240" s="134">
        <f t="shared" si="64"/>
        <v>8927.83</v>
      </c>
      <c r="N240" s="134">
        <f t="shared" si="64"/>
        <v>-1169.169999999993</v>
      </c>
      <c r="O240" s="134">
        <f t="shared" si="64"/>
        <v>20956.830000000013</v>
      </c>
      <c r="P240" s="134">
        <f t="shared" si="64"/>
        <v>91584.570000000065</v>
      </c>
      <c r="Q240" s="129"/>
      <c r="R240" s="184"/>
    </row>
    <row r="241" spans="1:18" x14ac:dyDescent="0.25">
      <c r="A241" s="170"/>
      <c r="B241" s="3"/>
      <c r="C241" s="129"/>
      <c r="D241" s="134"/>
      <c r="E241" s="134"/>
      <c r="F241" s="134"/>
      <c r="G241" s="134"/>
      <c r="H241" s="134"/>
      <c r="I241" s="134"/>
      <c r="J241" s="134"/>
      <c r="K241" s="134"/>
      <c r="L241" s="134"/>
      <c r="M241" s="134"/>
      <c r="N241" s="134"/>
      <c r="O241" s="134"/>
      <c r="P241" s="134"/>
      <c r="Q241" s="129"/>
      <c r="R241" s="184"/>
    </row>
    <row r="242" spans="1:18" x14ac:dyDescent="0.25">
      <c r="A242" s="1"/>
      <c r="B242" s="5"/>
      <c r="C242" s="129"/>
      <c r="D242" s="128"/>
      <c r="E242" s="128"/>
      <c r="F242" s="128"/>
      <c r="G242" s="128"/>
      <c r="H242" s="128"/>
      <c r="I242" s="128"/>
      <c r="J242" s="128"/>
      <c r="K242" s="128"/>
      <c r="L242" s="128"/>
      <c r="M242" s="128"/>
      <c r="N242" s="128"/>
      <c r="O242" s="128"/>
      <c r="P242" s="129"/>
      <c r="Q242" s="129"/>
      <c r="R242" s="184"/>
    </row>
    <row r="243" spans="1:18" x14ac:dyDescent="0.25">
      <c r="A243" s="1"/>
      <c r="B243" s="3"/>
      <c r="C243" s="139"/>
      <c r="D243" s="134"/>
      <c r="E243" s="134"/>
      <c r="F243" s="134"/>
      <c r="G243" s="134"/>
      <c r="H243" s="134"/>
      <c r="I243" s="134"/>
      <c r="J243" s="134"/>
      <c r="K243" s="134"/>
      <c r="L243" s="134"/>
      <c r="M243" s="134"/>
      <c r="N243" s="134"/>
      <c r="O243" s="134"/>
      <c r="P243" s="139"/>
      <c r="Q243" s="139"/>
      <c r="R243" s="185"/>
    </row>
  </sheetData>
  <mergeCells count="3">
    <mergeCell ref="A1:Q1"/>
    <mergeCell ref="A2:Q2"/>
    <mergeCell ref="C167:Q167"/>
  </mergeCells>
  <printOptions gridLines="1"/>
  <pageMargins left="0.1701388888888889" right="0.1701388888888889" top="0.1701388888888889" bottom="0.1701388888888889" header="0" footer="0"/>
  <pageSetup paperSize="5" scale="50" fitToHeight="990" orientation="landscape" r:id="rId1"/>
  <headerFooter>
    <oddHeader>&amp;R&amp;B&amp;D &amp;T</oddHeader>
    <oddFooter>&amp;C&amp;B Page &amp;P of &amp;N</oddFooter>
  </headerFooter>
  <rowBreaks count="1" manualBreakCount="1">
    <brk id="11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zoomScale="85" zoomScaleNormal="8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I23" sqref="I23"/>
    </sheetView>
  </sheetViews>
  <sheetFormatPr defaultRowHeight="15" x14ac:dyDescent="0.25"/>
  <cols>
    <col min="1" max="1" width="91.7109375" style="31" customWidth="1"/>
    <col min="2" max="2" width="8.85546875" style="32" bestFit="1" customWidth="1"/>
    <col min="3" max="3" width="8.85546875" style="102" bestFit="1" customWidth="1"/>
    <col min="4" max="4" width="10" style="102" bestFit="1" customWidth="1"/>
    <col min="5" max="16" width="13.28515625" style="103" bestFit="1" customWidth="1"/>
    <col min="17" max="17" width="12.140625" style="103" bestFit="1" customWidth="1"/>
    <col min="18" max="18" width="11.7109375" style="103" bestFit="1" customWidth="1"/>
    <col min="19" max="19" width="10" style="31" bestFit="1" customWidth="1"/>
    <col min="20" max="20" width="38" style="31" bestFit="1" customWidth="1"/>
    <col min="21" max="21" width="53.5703125" style="31" bestFit="1" customWidth="1"/>
    <col min="22" max="16384" width="9.140625" style="31"/>
  </cols>
  <sheetData>
    <row r="1" spans="1:21" x14ac:dyDescent="0.25">
      <c r="A1" s="12" t="s">
        <v>431</v>
      </c>
      <c r="T1" s="31" t="s">
        <v>399</v>
      </c>
    </row>
    <row r="2" spans="1:21" x14ac:dyDescent="0.25">
      <c r="A2" s="12" t="s">
        <v>371</v>
      </c>
    </row>
    <row r="4" spans="1:21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7" t="s">
        <v>400</v>
      </c>
      <c r="S4" s="104" t="s">
        <v>401</v>
      </c>
      <c r="T4" s="104" t="s">
        <v>402</v>
      </c>
      <c r="U4" s="104" t="s">
        <v>403</v>
      </c>
    </row>
    <row r="5" spans="1:21" s="54" customFormat="1" x14ac:dyDescent="0.25">
      <c r="A5" s="189" t="s">
        <v>511</v>
      </c>
      <c r="B5" s="197" t="s">
        <v>531</v>
      </c>
      <c r="C5" s="190"/>
      <c r="D5" s="191">
        <v>26.997894736842106</v>
      </c>
      <c r="E5" s="196">
        <v>3588.64</v>
      </c>
      <c r="F5" s="116">
        <f>E5</f>
        <v>3588.64</v>
      </c>
      <c r="G5" s="116">
        <f t="shared" ref="G5:P5" si="0">F5</f>
        <v>3588.64</v>
      </c>
      <c r="H5" s="116">
        <f t="shared" si="0"/>
        <v>3588.64</v>
      </c>
      <c r="I5" s="116">
        <f t="shared" si="0"/>
        <v>3588.64</v>
      </c>
      <c r="J5" s="116">
        <f t="shared" si="0"/>
        <v>3588.64</v>
      </c>
      <c r="K5" s="116">
        <f t="shared" si="0"/>
        <v>3588.64</v>
      </c>
      <c r="L5" s="116">
        <f t="shared" si="0"/>
        <v>3588.64</v>
      </c>
      <c r="M5" s="116">
        <f t="shared" si="0"/>
        <v>3588.64</v>
      </c>
      <c r="N5" s="116">
        <f t="shared" si="0"/>
        <v>3588.64</v>
      </c>
      <c r="O5" s="116">
        <f t="shared" si="0"/>
        <v>3588.64</v>
      </c>
      <c r="P5" s="116">
        <f t="shared" si="0"/>
        <v>3588.64</v>
      </c>
      <c r="Q5" s="116">
        <f>SUM(E5:P5)</f>
        <v>43063.68</v>
      </c>
      <c r="R5" s="116"/>
      <c r="T5" s="54" t="s">
        <v>397</v>
      </c>
    </row>
    <row r="6" spans="1:21" s="54" customFormat="1" x14ac:dyDescent="0.25">
      <c r="A6" s="54" t="s">
        <v>512</v>
      </c>
      <c r="B6" s="197" t="s">
        <v>531</v>
      </c>
      <c r="C6" s="190"/>
      <c r="D6" s="191">
        <v>16.23</v>
      </c>
      <c r="E6" s="116">
        <v>2492</v>
      </c>
      <c r="F6" s="116">
        <f t="shared" ref="F6:P6" si="1">E6</f>
        <v>2492</v>
      </c>
      <c r="G6" s="116">
        <f t="shared" si="1"/>
        <v>2492</v>
      </c>
      <c r="H6" s="116">
        <f t="shared" si="1"/>
        <v>2492</v>
      </c>
      <c r="I6" s="116">
        <f t="shared" si="1"/>
        <v>2492</v>
      </c>
      <c r="J6" s="116">
        <f t="shared" si="1"/>
        <v>2492</v>
      </c>
      <c r="K6" s="116">
        <f t="shared" si="1"/>
        <v>2492</v>
      </c>
      <c r="L6" s="116">
        <f t="shared" si="1"/>
        <v>2492</v>
      </c>
      <c r="M6" s="116">
        <f t="shared" si="1"/>
        <v>2492</v>
      </c>
      <c r="N6" s="196">
        <v>2566.7600000000002</v>
      </c>
      <c r="O6" s="116">
        <f t="shared" si="1"/>
        <v>2566.7600000000002</v>
      </c>
      <c r="P6" s="116">
        <f t="shared" si="1"/>
        <v>2566.7600000000002</v>
      </c>
      <c r="Q6" s="116">
        <f t="shared" ref="Q6:Q27" si="2">SUM(E6:P6)</f>
        <v>30128.280000000006</v>
      </c>
      <c r="R6" s="116"/>
      <c r="T6" s="54" t="s">
        <v>405</v>
      </c>
    </row>
    <row r="7" spans="1:21" s="54" customFormat="1" x14ac:dyDescent="0.25">
      <c r="A7" s="54" t="s">
        <v>513</v>
      </c>
      <c r="B7" s="197" t="s">
        <v>531</v>
      </c>
      <c r="C7" s="190"/>
      <c r="D7" s="191">
        <v>21.492967741935484</v>
      </c>
      <c r="E7" s="116">
        <v>6097.21</v>
      </c>
      <c r="F7" s="116">
        <f t="shared" ref="F7:P7" si="3">E7</f>
        <v>6097.21</v>
      </c>
      <c r="G7" s="116">
        <f t="shared" si="3"/>
        <v>6097.21</v>
      </c>
      <c r="H7" s="116">
        <f t="shared" si="3"/>
        <v>6097.21</v>
      </c>
      <c r="I7" s="116">
        <f t="shared" si="3"/>
        <v>6097.21</v>
      </c>
      <c r="J7" s="116">
        <f t="shared" si="3"/>
        <v>6097.21</v>
      </c>
      <c r="K7" s="116">
        <f t="shared" si="3"/>
        <v>6097.21</v>
      </c>
      <c r="L7" s="116">
        <f t="shared" si="3"/>
        <v>6097.21</v>
      </c>
      <c r="M7" s="116">
        <f t="shared" si="3"/>
        <v>6097.21</v>
      </c>
      <c r="N7" s="116">
        <f t="shared" si="3"/>
        <v>6097.21</v>
      </c>
      <c r="O7" s="116">
        <f t="shared" si="3"/>
        <v>6097.21</v>
      </c>
      <c r="P7" s="116">
        <f t="shared" si="3"/>
        <v>6097.21</v>
      </c>
      <c r="Q7" s="116">
        <f t="shared" si="2"/>
        <v>73166.52</v>
      </c>
      <c r="R7" s="116"/>
      <c r="T7" s="54" t="s">
        <v>406</v>
      </c>
    </row>
    <row r="8" spans="1:21" s="54" customFormat="1" x14ac:dyDescent="0.25">
      <c r="A8" s="54" t="s">
        <v>514</v>
      </c>
      <c r="B8" s="197" t="s">
        <v>531</v>
      </c>
      <c r="C8" s="190"/>
      <c r="D8" s="191">
        <v>24.041065573770489</v>
      </c>
      <c r="E8" s="116">
        <v>6669.91</v>
      </c>
      <c r="F8" s="116">
        <f t="shared" ref="F8:P8" si="4">E8</f>
        <v>6669.91</v>
      </c>
      <c r="G8" s="116">
        <f t="shared" si="4"/>
        <v>6669.91</v>
      </c>
      <c r="H8" s="116">
        <f t="shared" si="4"/>
        <v>6669.91</v>
      </c>
      <c r="I8" s="116">
        <f t="shared" si="4"/>
        <v>6669.91</v>
      </c>
      <c r="J8" s="116">
        <f t="shared" si="4"/>
        <v>6669.91</v>
      </c>
      <c r="K8" s="116">
        <f t="shared" si="4"/>
        <v>6669.91</v>
      </c>
      <c r="L8" s="116">
        <f t="shared" si="4"/>
        <v>6669.91</v>
      </c>
      <c r="M8" s="116">
        <f t="shared" si="4"/>
        <v>6669.91</v>
      </c>
      <c r="N8" s="116">
        <f t="shared" si="4"/>
        <v>6669.91</v>
      </c>
      <c r="O8" s="116">
        <f t="shared" si="4"/>
        <v>6669.91</v>
      </c>
      <c r="P8" s="116">
        <f t="shared" si="4"/>
        <v>6669.91</v>
      </c>
      <c r="Q8" s="116">
        <f t="shared" si="2"/>
        <v>80038.920000000027</v>
      </c>
      <c r="R8" s="116"/>
      <c r="T8" s="54" t="s">
        <v>407</v>
      </c>
    </row>
    <row r="9" spans="1:21" s="54" customFormat="1" x14ac:dyDescent="0.25">
      <c r="A9" s="54" t="s">
        <v>515</v>
      </c>
      <c r="B9" s="197" t="s">
        <v>531</v>
      </c>
      <c r="C9" s="190"/>
      <c r="D9" s="191">
        <v>24.345592105263155</v>
      </c>
      <c r="E9" s="116">
        <v>7367.33</v>
      </c>
      <c r="F9" s="116">
        <f t="shared" ref="F9:P9" si="5">E9</f>
        <v>7367.33</v>
      </c>
      <c r="G9" s="116">
        <f t="shared" si="5"/>
        <v>7367.33</v>
      </c>
      <c r="H9" s="116">
        <f t="shared" si="5"/>
        <v>7367.33</v>
      </c>
      <c r="I9" s="116">
        <f t="shared" si="5"/>
        <v>7367.33</v>
      </c>
      <c r="J9" s="116">
        <f t="shared" si="5"/>
        <v>7367.33</v>
      </c>
      <c r="K9" s="116">
        <f t="shared" si="5"/>
        <v>7367.33</v>
      </c>
      <c r="L9" s="116">
        <f t="shared" si="5"/>
        <v>7367.33</v>
      </c>
      <c r="M9" s="116">
        <f t="shared" si="5"/>
        <v>7367.33</v>
      </c>
      <c r="N9" s="116">
        <f t="shared" si="5"/>
        <v>7367.33</v>
      </c>
      <c r="O9" s="116">
        <f t="shared" si="5"/>
        <v>7367.33</v>
      </c>
      <c r="P9" s="116">
        <f t="shared" si="5"/>
        <v>7367.33</v>
      </c>
      <c r="Q9" s="116">
        <f t="shared" si="2"/>
        <v>88407.96</v>
      </c>
      <c r="R9" s="116"/>
      <c r="T9" s="54" t="s">
        <v>393</v>
      </c>
    </row>
    <row r="10" spans="1:21" s="54" customFormat="1" x14ac:dyDescent="0.25">
      <c r="A10" s="54" t="s">
        <v>516</v>
      </c>
      <c r="B10" s="197" t="s">
        <v>531</v>
      </c>
      <c r="C10" s="190"/>
      <c r="D10" s="190">
        <v>16</v>
      </c>
      <c r="E10" s="116">
        <v>5000</v>
      </c>
      <c r="F10" s="116">
        <f t="shared" ref="F10:P10" si="6">E10</f>
        <v>5000</v>
      </c>
      <c r="G10" s="116">
        <f t="shared" si="6"/>
        <v>5000</v>
      </c>
      <c r="H10" s="116">
        <f t="shared" si="6"/>
        <v>5000</v>
      </c>
      <c r="I10" s="116">
        <f t="shared" si="6"/>
        <v>5000</v>
      </c>
      <c r="J10" s="116">
        <f t="shared" si="6"/>
        <v>5000</v>
      </c>
      <c r="K10" s="116">
        <f t="shared" si="6"/>
        <v>5000</v>
      </c>
      <c r="L10" s="116">
        <f t="shared" si="6"/>
        <v>5000</v>
      </c>
      <c r="M10" s="116">
        <f t="shared" si="6"/>
        <v>5000</v>
      </c>
      <c r="N10" s="116">
        <f t="shared" si="6"/>
        <v>5000</v>
      </c>
      <c r="O10" s="116">
        <f t="shared" si="6"/>
        <v>5000</v>
      </c>
      <c r="P10" s="116">
        <f t="shared" si="6"/>
        <v>5000</v>
      </c>
      <c r="Q10" s="116">
        <f t="shared" si="2"/>
        <v>60000</v>
      </c>
      <c r="R10" s="116"/>
      <c r="T10" s="54" t="s">
        <v>394</v>
      </c>
    </row>
    <row r="11" spans="1:21" s="54" customFormat="1" x14ac:dyDescent="0.25">
      <c r="A11" s="54" t="s">
        <v>517</v>
      </c>
      <c r="B11" s="197" t="s">
        <v>531</v>
      </c>
      <c r="C11" s="192"/>
      <c r="D11" s="190">
        <v>21.995999999999999</v>
      </c>
      <c r="E11" s="116">
        <v>3205.33</v>
      </c>
      <c r="F11" s="116">
        <f t="shared" ref="F11:P11" si="7">E11</f>
        <v>3205.33</v>
      </c>
      <c r="G11" s="116">
        <f t="shared" si="7"/>
        <v>3205.33</v>
      </c>
      <c r="H11" s="116">
        <f t="shared" si="7"/>
        <v>3205.33</v>
      </c>
      <c r="I11" s="116">
        <f t="shared" si="7"/>
        <v>3205.33</v>
      </c>
      <c r="J11" s="116">
        <f t="shared" si="7"/>
        <v>3205.33</v>
      </c>
      <c r="K11" s="116">
        <f t="shared" si="7"/>
        <v>3205.33</v>
      </c>
      <c r="L11" s="116">
        <f t="shared" si="7"/>
        <v>3205.33</v>
      </c>
      <c r="M11" s="116">
        <f t="shared" si="7"/>
        <v>3205.33</v>
      </c>
      <c r="N11" s="116">
        <f t="shared" si="7"/>
        <v>3205.33</v>
      </c>
      <c r="O11" s="116">
        <f t="shared" si="7"/>
        <v>3205.33</v>
      </c>
      <c r="P11" s="116">
        <f t="shared" si="7"/>
        <v>3205.33</v>
      </c>
      <c r="Q11" s="116">
        <f t="shared" si="2"/>
        <v>38463.960000000006</v>
      </c>
      <c r="R11" s="116"/>
      <c r="T11" s="54" t="s">
        <v>398</v>
      </c>
      <c r="U11" s="54" t="s">
        <v>408</v>
      </c>
    </row>
    <row r="12" spans="1:21" s="193" customFormat="1" x14ac:dyDescent="0.25">
      <c r="A12" s="193" t="s">
        <v>518</v>
      </c>
      <c r="B12" s="197" t="s">
        <v>531</v>
      </c>
      <c r="C12" s="194"/>
      <c r="D12" s="194">
        <v>20</v>
      </c>
      <c r="E12" s="195">
        <v>3608.1</v>
      </c>
      <c r="F12" s="116">
        <f t="shared" ref="F12:P12" si="8">E12</f>
        <v>3608.1</v>
      </c>
      <c r="G12" s="116">
        <f t="shared" si="8"/>
        <v>3608.1</v>
      </c>
      <c r="H12" s="116">
        <f t="shared" si="8"/>
        <v>3608.1</v>
      </c>
      <c r="I12" s="196">
        <v>3686.26</v>
      </c>
      <c r="J12" s="116">
        <f t="shared" si="8"/>
        <v>3686.26</v>
      </c>
      <c r="K12" s="116">
        <f t="shared" si="8"/>
        <v>3686.26</v>
      </c>
      <c r="L12" s="116">
        <f t="shared" si="8"/>
        <v>3686.26</v>
      </c>
      <c r="M12" s="116">
        <f t="shared" si="8"/>
        <v>3686.26</v>
      </c>
      <c r="N12" s="116">
        <f t="shared" si="8"/>
        <v>3686.26</v>
      </c>
      <c r="O12" s="116">
        <f t="shared" si="8"/>
        <v>3686.26</v>
      </c>
      <c r="P12" s="116">
        <f t="shared" si="8"/>
        <v>3686.26</v>
      </c>
      <c r="Q12" s="195">
        <f t="shared" si="2"/>
        <v>43922.48000000001</v>
      </c>
      <c r="R12" s="195"/>
      <c r="T12" s="193" t="s">
        <v>409</v>
      </c>
    </row>
    <row r="13" spans="1:21" x14ac:dyDescent="0.25">
      <c r="A13" s="31" t="s">
        <v>519</v>
      </c>
      <c r="B13" s="197" t="s">
        <v>531</v>
      </c>
      <c r="D13" s="102">
        <v>13.999979999999999</v>
      </c>
      <c r="E13" s="103">
        <v>6288.74</v>
      </c>
      <c r="F13" s="116">
        <f t="shared" ref="F13:P13" si="9">E13</f>
        <v>6288.74</v>
      </c>
      <c r="G13" s="116">
        <f t="shared" si="9"/>
        <v>6288.74</v>
      </c>
      <c r="H13" s="116">
        <f t="shared" si="9"/>
        <v>6288.74</v>
      </c>
      <c r="I13" s="116">
        <f t="shared" si="9"/>
        <v>6288.74</v>
      </c>
      <c r="J13" s="116">
        <f t="shared" si="9"/>
        <v>6288.74</v>
      </c>
      <c r="K13" s="116">
        <f t="shared" si="9"/>
        <v>6288.74</v>
      </c>
      <c r="L13" s="116">
        <f t="shared" si="9"/>
        <v>6288.74</v>
      </c>
      <c r="M13" s="116">
        <f t="shared" si="9"/>
        <v>6288.74</v>
      </c>
      <c r="N13" s="116">
        <f t="shared" si="9"/>
        <v>6288.74</v>
      </c>
      <c r="O13" s="116">
        <f t="shared" si="9"/>
        <v>6288.74</v>
      </c>
      <c r="P13" s="116">
        <f t="shared" si="9"/>
        <v>6288.74</v>
      </c>
      <c r="Q13" s="103">
        <f t="shared" si="2"/>
        <v>75464.87999999999</v>
      </c>
      <c r="T13" s="31" t="s">
        <v>410</v>
      </c>
      <c r="U13" s="31" t="s">
        <v>411</v>
      </c>
    </row>
    <row r="14" spans="1:21" x14ac:dyDescent="0.25">
      <c r="A14" s="31" t="s">
        <v>520</v>
      </c>
      <c r="B14" s="197" t="s">
        <v>531</v>
      </c>
      <c r="D14" s="102">
        <v>16.163636363636364</v>
      </c>
      <c r="E14" s="103">
        <v>1013.12</v>
      </c>
      <c r="F14" s="116">
        <f t="shared" ref="F14:P14" si="10">E14</f>
        <v>1013.12</v>
      </c>
      <c r="G14" s="116">
        <f t="shared" si="10"/>
        <v>1013.12</v>
      </c>
      <c r="H14" s="116">
        <f t="shared" si="10"/>
        <v>1013.12</v>
      </c>
      <c r="I14" s="116">
        <f t="shared" si="10"/>
        <v>1013.12</v>
      </c>
      <c r="J14" s="116">
        <f t="shared" si="10"/>
        <v>1013.12</v>
      </c>
      <c r="K14" s="116">
        <f t="shared" si="10"/>
        <v>1013.12</v>
      </c>
      <c r="L14" s="196">
        <v>1043.51</v>
      </c>
      <c r="M14" s="116">
        <f t="shared" si="10"/>
        <v>1043.51</v>
      </c>
      <c r="N14" s="116">
        <f t="shared" si="10"/>
        <v>1043.51</v>
      </c>
      <c r="O14" s="116">
        <f t="shared" si="10"/>
        <v>1043.51</v>
      </c>
      <c r="P14" s="116">
        <f t="shared" si="10"/>
        <v>1043.51</v>
      </c>
      <c r="Q14" s="103">
        <f t="shared" si="2"/>
        <v>12309.390000000001</v>
      </c>
      <c r="T14" s="31" t="s">
        <v>395</v>
      </c>
    </row>
    <row r="15" spans="1:21" x14ac:dyDescent="0.25">
      <c r="A15" s="31" t="s">
        <v>521</v>
      </c>
      <c r="B15" s="197" t="s">
        <v>531</v>
      </c>
      <c r="D15" s="102">
        <v>0</v>
      </c>
      <c r="E15" s="103">
        <v>3000</v>
      </c>
      <c r="F15" s="116">
        <f t="shared" ref="F15:P15" si="11">E15</f>
        <v>3000</v>
      </c>
      <c r="G15" s="116">
        <f t="shared" si="11"/>
        <v>3000</v>
      </c>
      <c r="H15" s="116">
        <f t="shared" si="11"/>
        <v>3000</v>
      </c>
      <c r="I15" s="116">
        <f t="shared" si="11"/>
        <v>3000</v>
      </c>
      <c r="J15" s="116">
        <f t="shared" si="11"/>
        <v>3000</v>
      </c>
      <c r="K15" s="116">
        <f t="shared" si="11"/>
        <v>3000</v>
      </c>
      <c r="L15" s="116">
        <f t="shared" si="11"/>
        <v>3000</v>
      </c>
      <c r="M15" s="196">
        <v>3547.32</v>
      </c>
      <c r="N15" s="116">
        <f t="shared" si="11"/>
        <v>3547.32</v>
      </c>
      <c r="O15" s="116">
        <f t="shared" si="11"/>
        <v>3547.32</v>
      </c>
      <c r="P15" s="116">
        <f t="shared" si="11"/>
        <v>3547.32</v>
      </c>
      <c r="Q15" s="103">
        <f t="shared" si="2"/>
        <v>38189.279999999999</v>
      </c>
      <c r="T15" s="31" t="s">
        <v>412</v>
      </c>
    </row>
    <row r="16" spans="1:21" x14ac:dyDescent="0.25">
      <c r="A16" s="31" t="s">
        <v>522</v>
      </c>
      <c r="B16" s="197" t="s">
        <v>531</v>
      </c>
      <c r="D16" s="102">
        <v>9.5276923076923072</v>
      </c>
      <c r="E16" s="103">
        <v>4500</v>
      </c>
      <c r="F16" s="116">
        <f t="shared" ref="F16:P16" si="12">E16</f>
        <v>4500</v>
      </c>
      <c r="G16" s="116">
        <f t="shared" si="12"/>
        <v>4500</v>
      </c>
      <c r="H16" s="116">
        <f t="shared" si="12"/>
        <v>4500</v>
      </c>
      <c r="I16" s="116">
        <f t="shared" si="12"/>
        <v>4500</v>
      </c>
      <c r="J16" s="116">
        <f t="shared" si="12"/>
        <v>4500</v>
      </c>
      <c r="K16" s="116">
        <f t="shared" si="12"/>
        <v>4500</v>
      </c>
      <c r="L16" s="116">
        <f t="shared" si="12"/>
        <v>4500</v>
      </c>
      <c r="M16" s="116">
        <f t="shared" si="12"/>
        <v>4500</v>
      </c>
      <c r="N16" s="116">
        <f t="shared" si="12"/>
        <v>4500</v>
      </c>
      <c r="O16" s="116">
        <f t="shared" si="12"/>
        <v>4500</v>
      </c>
      <c r="P16" s="116">
        <f t="shared" si="12"/>
        <v>4500</v>
      </c>
      <c r="Q16" s="103">
        <f t="shared" si="2"/>
        <v>54000</v>
      </c>
      <c r="T16" s="31" t="s">
        <v>413</v>
      </c>
    </row>
    <row r="17" spans="1:21" x14ac:dyDescent="0.25">
      <c r="A17" s="31" t="s">
        <v>523</v>
      </c>
      <c r="B17" s="197" t="s">
        <v>531</v>
      </c>
      <c r="D17" s="102">
        <v>27.867999999999999</v>
      </c>
      <c r="E17" s="103">
        <v>3450</v>
      </c>
      <c r="F17" s="116">
        <f t="shared" ref="F17:P17" si="13">E17</f>
        <v>3450</v>
      </c>
      <c r="G17" s="116">
        <f t="shared" si="13"/>
        <v>3450</v>
      </c>
      <c r="H17" s="116">
        <f t="shared" si="13"/>
        <v>3450</v>
      </c>
      <c r="I17" s="116">
        <f t="shared" si="13"/>
        <v>3450</v>
      </c>
      <c r="J17" s="116">
        <f t="shared" si="13"/>
        <v>3450</v>
      </c>
      <c r="K17" s="116">
        <f t="shared" si="13"/>
        <v>3450</v>
      </c>
      <c r="L17" s="116">
        <f t="shared" si="13"/>
        <v>3450</v>
      </c>
      <c r="M17" s="116">
        <f t="shared" si="13"/>
        <v>3450</v>
      </c>
      <c r="N17" s="116">
        <f t="shared" si="13"/>
        <v>3450</v>
      </c>
      <c r="O17" s="116">
        <f t="shared" si="13"/>
        <v>3450</v>
      </c>
      <c r="P17" s="116">
        <f t="shared" si="13"/>
        <v>3450</v>
      </c>
      <c r="Q17" s="103">
        <f t="shared" si="2"/>
        <v>41400</v>
      </c>
      <c r="T17" s="31" t="s">
        <v>414</v>
      </c>
    </row>
    <row r="18" spans="1:21" x14ac:dyDescent="0.25">
      <c r="A18" s="31" t="s">
        <v>524</v>
      </c>
      <c r="B18" s="197" t="s">
        <v>531</v>
      </c>
      <c r="D18" s="102">
        <v>22</v>
      </c>
      <c r="E18" s="103">
        <v>4364.82</v>
      </c>
      <c r="F18" s="116">
        <f t="shared" ref="F18:P18" si="14">E18</f>
        <v>4364.82</v>
      </c>
      <c r="G18" s="116">
        <f t="shared" si="14"/>
        <v>4364.82</v>
      </c>
      <c r="H18" s="116">
        <f t="shared" si="14"/>
        <v>4364.82</v>
      </c>
      <c r="I18" s="116">
        <f t="shared" si="14"/>
        <v>4364.82</v>
      </c>
      <c r="J18" s="116">
        <f t="shared" si="14"/>
        <v>4364.82</v>
      </c>
      <c r="K18" s="116">
        <f t="shared" si="14"/>
        <v>4364.82</v>
      </c>
      <c r="L18" s="116">
        <f t="shared" si="14"/>
        <v>4364.82</v>
      </c>
      <c r="M18" s="116">
        <f t="shared" si="14"/>
        <v>4364.82</v>
      </c>
      <c r="N18" s="116">
        <f t="shared" si="14"/>
        <v>4364.82</v>
      </c>
      <c r="O18" s="116">
        <f t="shared" si="14"/>
        <v>4364.82</v>
      </c>
      <c r="P18" s="116">
        <f t="shared" si="14"/>
        <v>4364.82</v>
      </c>
      <c r="Q18" s="103">
        <f t="shared" si="2"/>
        <v>52377.84</v>
      </c>
      <c r="T18" s="31" t="s">
        <v>396</v>
      </c>
      <c r="U18" s="31" t="s">
        <v>415</v>
      </c>
    </row>
    <row r="19" spans="1:21" x14ac:dyDescent="0.25">
      <c r="A19" s="125" t="s">
        <v>525</v>
      </c>
      <c r="B19" s="197" t="s">
        <v>531</v>
      </c>
      <c r="D19" s="102">
        <v>13.383200000000002</v>
      </c>
      <c r="E19" s="103">
        <v>3903.9300000000003</v>
      </c>
      <c r="F19" s="116">
        <f t="shared" ref="F19:P19" si="15">E19</f>
        <v>3903.9300000000003</v>
      </c>
      <c r="G19" s="116">
        <f t="shared" si="15"/>
        <v>3903.9300000000003</v>
      </c>
      <c r="H19" s="116">
        <f t="shared" si="15"/>
        <v>3903.9300000000003</v>
      </c>
      <c r="I19" s="196">
        <v>4060.09</v>
      </c>
      <c r="J19" s="116">
        <f t="shared" si="15"/>
        <v>4060.09</v>
      </c>
      <c r="K19" s="116">
        <f t="shared" si="15"/>
        <v>4060.09</v>
      </c>
      <c r="L19" s="116">
        <f t="shared" si="15"/>
        <v>4060.09</v>
      </c>
      <c r="M19" s="116">
        <f t="shared" si="15"/>
        <v>4060.09</v>
      </c>
      <c r="N19" s="116">
        <f t="shared" si="15"/>
        <v>4060.09</v>
      </c>
      <c r="O19" s="116">
        <f t="shared" si="15"/>
        <v>4060.09</v>
      </c>
      <c r="P19" s="116">
        <f t="shared" si="15"/>
        <v>4060.09</v>
      </c>
      <c r="Q19" s="103">
        <f t="shared" si="2"/>
        <v>48096.439999999988</v>
      </c>
      <c r="T19" s="31" t="s">
        <v>416</v>
      </c>
    </row>
    <row r="20" spans="1:21" x14ac:dyDescent="0.25">
      <c r="A20" s="31" t="s">
        <v>526</v>
      </c>
      <c r="B20" s="197" t="s">
        <v>531</v>
      </c>
      <c r="E20" s="103">
        <v>3111.9700000000003</v>
      </c>
      <c r="F20" s="116">
        <f t="shared" ref="F20:P20" si="16">E20</f>
        <v>3111.9700000000003</v>
      </c>
      <c r="G20" s="116">
        <f t="shared" si="16"/>
        <v>3111.9700000000003</v>
      </c>
      <c r="H20" s="116">
        <f t="shared" si="16"/>
        <v>3111.9700000000003</v>
      </c>
      <c r="I20" s="196">
        <v>3205.33</v>
      </c>
      <c r="J20" s="116">
        <f t="shared" si="16"/>
        <v>3205.33</v>
      </c>
      <c r="K20" s="116">
        <f t="shared" si="16"/>
        <v>3205.33</v>
      </c>
      <c r="L20" s="116">
        <f t="shared" si="16"/>
        <v>3205.33</v>
      </c>
      <c r="M20" s="116">
        <f t="shared" si="16"/>
        <v>3205.33</v>
      </c>
      <c r="N20" s="116">
        <f t="shared" si="16"/>
        <v>3205.33</v>
      </c>
      <c r="O20" s="116">
        <f t="shared" si="16"/>
        <v>3205.33</v>
      </c>
      <c r="P20" s="116">
        <f t="shared" si="16"/>
        <v>3205.33</v>
      </c>
      <c r="Q20" s="103">
        <f t="shared" si="2"/>
        <v>38090.520000000011</v>
      </c>
      <c r="T20" s="31">
        <v>0</v>
      </c>
    </row>
    <row r="21" spans="1:21" x14ac:dyDescent="0.25">
      <c r="A21" s="31" t="s">
        <v>527</v>
      </c>
      <c r="B21" s="197" t="s">
        <v>531</v>
      </c>
      <c r="E21" s="103">
        <v>5611.67</v>
      </c>
      <c r="F21" s="116">
        <f t="shared" ref="F21:P21" si="17">E21</f>
        <v>5611.67</v>
      </c>
      <c r="G21" s="116">
        <f t="shared" si="17"/>
        <v>5611.67</v>
      </c>
      <c r="H21" s="116">
        <f t="shared" si="17"/>
        <v>5611.67</v>
      </c>
      <c r="I21" s="116">
        <f t="shared" si="17"/>
        <v>5611.67</v>
      </c>
      <c r="J21" s="116">
        <f t="shared" si="17"/>
        <v>5611.67</v>
      </c>
      <c r="K21" s="116">
        <f t="shared" si="17"/>
        <v>5611.67</v>
      </c>
      <c r="L21" s="116">
        <f t="shared" si="17"/>
        <v>5611.67</v>
      </c>
      <c r="M21" s="116">
        <f t="shared" si="17"/>
        <v>5611.67</v>
      </c>
      <c r="N21" s="116">
        <f t="shared" si="17"/>
        <v>5611.67</v>
      </c>
      <c r="O21" s="116">
        <f t="shared" si="17"/>
        <v>5611.67</v>
      </c>
      <c r="P21" s="116">
        <f t="shared" si="17"/>
        <v>5611.67</v>
      </c>
      <c r="Q21" s="103">
        <f t="shared" si="2"/>
        <v>67340.039999999994</v>
      </c>
      <c r="T21" s="31">
        <v>0</v>
      </c>
    </row>
    <row r="22" spans="1:21" x14ac:dyDescent="0.25">
      <c r="A22" s="31" t="s">
        <v>528</v>
      </c>
      <c r="B22" s="197" t="s">
        <v>531</v>
      </c>
      <c r="E22" s="103">
        <v>4206.76</v>
      </c>
      <c r="F22" s="116">
        <f t="shared" ref="F22:P22" si="18">E22</f>
        <v>4206.76</v>
      </c>
      <c r="G22" s="196">
        <v>4332.96</v>
      </c>
      <c r="H22" s="116">
        <f t="shared" si="18"/>
        <v>4332.96</v>
      </c>
      <c r="I22" s="116">
        <f t="shared" si="18"/>
        <v>4332.96</v>
      </c>
      <c r="J22" s="116">
        <f t="shared" si="18"/>
        <v>4332.96</v>
      </c>
      <c r="K22" s="116">
        <f t="shared" si="18"/>
        <v>4332.96</v>
      </c>
      <c r="L22" s="116">
        <f t="shared" si="18"/>
        <v>4332.96</v>
      </c>
      <c r="M22" s="116">
        <f t="shared" si="18"/>
        <v>4332.96</v>
      </c>
      <c r="N22" s="116">
        <f t="shared" si="18"/>
        <v>4332.96</v>
      </c>
      <c r="O22" s="116">
        <f t="shared" si="18"/>
        <v>4332.96</v>
      </c>
      <c r="P22" s="116">
        <f t="shared" si="18"/>
        <v>4332.96</v>
      </c>
      <c r="Q22" s="103">
        <f t="shared" si="2"/>
        <v>51743.119999999995</v>
      </c>
      <c r="T22" s="31">
        <v>0</v>
      </c>
    </row>
    <row r="23" spans="1:21" x14ac:dyDescent="0.25">
      <c r="A23" s="31" t="s">
        <v>529</v>
      </c>
      <c r="B23" s="197" t="s">
        <v>531</v>
      </c>
      <c r="E23" s="103">
        <v>14251.76</v>
      </c>
      <c r="F23" s="196">
        <v>14607.3</v>
      </c>
      <c r="G23" s="116">
        <f t="shared" ref="G23:P23" si="19">F23</f>
        <v>14607.3</v>
      </c>
      <c r="H23" s="116">
        <f t="shared" si="19"/>
        <v>14607.3</v>
      </c>
      <c r="I23" s="116">
        <f t="shared" si="19"/>
        <v>14607.3</v>
      </c>
      <c r="J23" s="116">
        <f t="shared" si="19"/>
        <v>14607.3</v>
      </c>
      <c r="K23" s="116">
        <f t="shared" si="19"/>
        <v>14607.3</v>
      </c>
      <c r="L23" s="116">
        <f t="shared" si="19"/>
        <v>14607.3</v>
      </c>
      <c r="M23" s="116">
        <f t="shared" si="19"/>
        <v>14607.3</v>
      </c>
      <c r="N23" s="116">
        <f t="shared" si="19"/>
        <v>14607.3</v>
      </c>
      <c r="O23" s="116">
        <f t="shared" si="19"/>
        <v>14607.3</v>
      </c>
      <c r="P23" s="116">
        <f t="shared" si="19"/>
        <v>14607.3</v>
      </c>
      <c r="Q23" s="103">
        <f t="shared" si="2"/>
        <v>174932.05999999997</v>
      </c>
      <c r="T23" s="31">
        <v>0</v>
      </c>
    </row>
    <row r="24" spans="1:21" x14ac:dyDescent="0.25">
      <c r="A24" s="31" t="s">
        <v>530</v>
      </c>
      <c r="B24" s="197" t="s">
        <v>531</v>
      </c>
      <c r="E24" s="103">
        <v>10118.27</v>
      </c>
      <c r="F24" s="116">
        <f t="shared" ref="F24:P24" si="20">E24</f>
        <v>10118.27</v>
      </c>
      <c r="G24" s="116">
        <f t="shared" si="20"/>
        <v>10118.27</v>
      </c>
      <c r="H24" s="116">
        <f t="shared" si="20"/>
        <v>10118.27</v>
      </c>
      <c r="I24" s="116">
        <f t="shared" si="20"/>
        <v>10118.27</v>
      </c>
      <c r="J24" s="116">
        <f t="shared" si="20"/>
        <v>10118.27</v>
      </c>
      <c r="K24" s="116">
        <f t="shared" si="20"/>
        <v>10118.27</v>
      </c>
      <c r="L24" s="116">
        <f t="shared" si="20"/>
        <v>10118.27</v>
      </c>
      <c r="M24" s="116">
        <f t="shared" si="20"/>
        <v>10118.27</v>
      </c>
      <c r="N24" s="116">
        <f t="shared" si="20"/>
        <v>10118.27</v>
      </c>
      <c r="O24" s="116">
        <f t="shared" si="20"/>
        <v>10118.27</v>
      </c>
      <c r="P24" s="116">
        <f t="shared" si="20"/>
        <v>10118.27</v>
      </c>
      <c r="Q24" s="103">
        <f t="shared" si="2"/>
        <v>121419.24000000003</v>
      </c>
      <c r="T24" s="31">
        <v>0</v>
      </c>
    </row>
    <row r="25" spans="1:21" x14ac:dyDescent="0.25">
      <c r="A25" s="125" t="s">
        <v>532</v>
      </c>
      <c r="Q25" s="103">
        <f t="shared" si="2"/>
        <v>0</v>
      </c>
      <c r="T25" s="31">
        <v>0</v>
      </c>
    </row>
    <row r="26" spans="1:21" x14ac:dyDescent="0.25">
      <c r="A26" s="125" t="s">
        <v>533</v>
      </c>
      <c r="Q26" s="103">
        <f t="shared" si="2"/>
        <v>0</v>
      </c>
      <c r="T26" s="31">
        <v>0</v>
      </c>
    </row>
    <row r="27" spans="1:21" x14ac:dyDescent="0.25">
      <c r="Q27" s="103">
        <f t="shared" si="2"/>
        <v>0</v>
      </c>
      <c r="T27" s="31">
        <v>0</v>
      </c>
    </row>
    <row r="28" spans="1:21" x14ac:dyDescent="0.25">
      <c r="T28" s="31">
        <v>0</v>
      </c>
    </row>
    <row r="32" spans="1:21" x14ac:dyDescent="0.25">
      <c r="A32" s="31" t="s">
        <v>378</v>
      </c>
      <c r="C32" s="102">
        <f t="shared" ref="C32:P32" si="21">SUM(C5:C31)</f>
        <v>0</v>
      </c>
      <c r="D32" s="102">
        <f t="shared" si="21"/>
        <v>274.04602882913991</v>
      </c>
      <c r="E32" s="124">
        <f t="shared" si="21"/>
        <v>101849.55999999998</v>
      </c>
      <c r="F32" s="124">
        <f t="shared" si="21"/>
        <v>102205.09999999999</v>
      </c>
      <c r="G32" s="124">
        <f t="shared" si="21"/>
        <v>102331.3</v>
      </c>
      <c r="H32" s="124">
        <f t="shared" si="21"/>
        <v>102331.3</v>
      </c>
      <c r="I32" s="124">
        <f t="shared" si="21"/>
        <v>102658.98000000001</v>
      </c>
      <c r="J32" s="124">
        <f t="shared" si="21"/>
        <v>102658.98000000001</v>
      </c>
      <c r="K32" s="124">
        <f t="shared" si="21"/>
        <v>102658.98000000001</v>
      </c>
      <c r="L32" s="124">
        <f t="shared" si="21"/>
        <v>102689.37000000001</v>
      </c>
      <c r="M32" s="124">
        <f t="shared" si="21"/>
        <v>103236.69000000002</v>
      </c>
      <c r="N32" s="124">
        <f t="shared" si="21"/>
        <v>103311.45000000001</v>
      </c>
      <c r="O32" s="124">
        <f t="shared" si="21"/>
        <v>103311.45000000001</v>
      </c>
      <c r="P32" s="124">
        <f t="shared" si="21"/>
        <v>103311.45000000001</v>
      </c>
      <c r="Q32" s="103">
        <f>SUM(Q5:Q27)</f>
        <v>1232554.6100000001</v>
      </c>
    </row>
    <row r="33" spans="17:17" x14ac:dyDescent="0.25">
      <c r="Q33" s="103">
        <f>SUM(E32:P32)</f>
        <v>1232554.6099999999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P27" sqref="P27"/>
    </sheetView>
  </sheetViews>
  <sheetFormatPr defaultRowHeight="15" x14ac:dyDescent="0.25"/>
  <cols>
    <col min="1" max="1" width="38" style="31" bestFit="1" customWidth="1"/>
    <col min="2" max="2" width="8.85546875" style="32" bestFit="1" customWidth="1"/>
    <col min="3" max="3" width="7.140625" style="102" bestFit="1" customWidth="1"/>
    <col min="4" max="4" width="8.42578125" style="102" bestFit="1" customWidth="1"/>
    <col min="5" max="16" width="10.5703125" style="103" bestFit="1" customWidth="1"/>
    <col min="17" max="17" width="12.140625" style="103" bestFit="1" customWidth="1"/>
    <col min="18" max="18" width="11.5703125" style="103" bestFit="1" customWidth="1"/>
    <col min="19" max="19" width="8.7109375" style="31" bestFit="1" customWidth="1"/>
    <col min="20" max="20" width="12.140625" style="31" bestFit="1" customWidth="1"/>
    <col min="21" max="16384" width="9.140625" style="31"/>
  </cols>
  <sheetData>
    <row r="1" spans="1:20" x14ac:dyDescent="0.25">
      <c r="A1" s="12" t="s">
        <v>430</v>
      </c>
    </row>
    <row r="2" spans="1:20" x14ac:dyDescent="0.25">
      <c r="A2" s="12" t="s">
        <v>379</v>
      </c>
    </row>
    <row r="4" spans="1:20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7" t="s">
        <v>374</v>
      </c>
      <c r="S4" s="104" t="s">
        <v>0</v>
      </c>
      <c r="T4" s="104" t="s">
        <v>203</v>
      </c>
    </row>
    <row r="6" spans="1:20" s="54" customFormat="1" x14ac:dyDescent="0.25">
      <c r="A6" s="54" t="s">
        <v>511</v>
      </c>
      <c r="B6" s="197" t="s">
        <v>531</v>
      </c>
      <c r="C6" s="190">
        <v>2850</v>
      </c>
      <c r="D6" s="191">
        <v>26.997894736842106</v>
      </c>
      <c r="E6" s="116">
        <v>1858.9</v>
      </c>
      <c r="F6" s="116">
        <f>E6</f>
        <v>1858.9</v>
      </c>
      <c r="G6" s="116">
        <f t="shared" ref="G6:P6" si="0">F6</f>
        <v>1858.9</v>
      </c>
      <c r="H6" s="116">
        <f t="shared" si="0"/>
        <v>1858.9</v>
      </c>
      <c r="I6" s="116">
        <f t="shared" si="0"/>
        <v>1858.9</v>
      </c>
      <c r="J6" s="116">
        <f t="shared" si="0"/>
        <v>1858.9</v>
      </c>
      <c r="K6" s="116">
        <f t="shared" si="0"/>
        <v>1858.9</v>
      </c>
      <c r="L6" s="116">
        <f t="shared" si="0"/>
        <v>1858.9</v>
      </c>
      <c r="M6" s="116">
        <f t="shared" si="0"/>
        <v>1858.9</v>
      </c>
      <c r="N6" s="116">
        <f t="shared" si="0"/>
        <v>1858.9</v>
      </c>
      <c r="O6" s="116">
        <f t="shared" si="0"/>
        <v>1858.9</v>
      </c>
      <c r="P6" s="116">
        <f t="shared" si="0"/>
        <v>1858.9</v>
      </c>
      <c r="Q6" s="116">
        <f>SUM(E6:P6)</f>
        <v>22306.800000000003</v>
      </c>
      <c r="R6" s="116"/>
    </row>
    <row r="7" spans="1:20" s="54" customFormat="1" x14ac:dyDescent="0.25">
      <c r="A7" s="54" t="s">
        <v>512</v>
      </c>
      <c r="B7" s="197" t="s">
        <v>531</v>
      </c>
      <c r="C7" s="190">
        <f>12835+1958+2403</f>
        <v>17196</v>
      </c>
      <c r="D7" s="191">
        <v>16.23</v>
      </c>
      <c r="E7" s="116">
        <v>966.76</v>
      </c>
      <c r="F7" s="116">
        <f t="shared" ref="F7:P27" si="1">E7</f>
        <v>966.76</v>
      </c>
      <c r="G7" s="116">
        <f t="shared" si="1"/>
        <v>966.76</v>
      </c>
      <c r="H7" s="116">
        <f t="shared" si="1"/>
        <v>966.76</v>
      </c>
      <c r="I7" s="116">
        <f t="shared" si="1"/>
        <v>966.76</v>
      </c>
      <c r="J7" s="116">
        <f t="shared" si="1"/>
        <v>966.76</v>
      </c>
      <c r="K7" s="116">
        <f t="shared" si="1"/>
        <v>966.76</v>
      </c>
      <c r="L7" s="116">
        <f t="shared" si="1"/>
        <v>966.76</v>
      </c>
      <c r="M7" s="116">
        <f t="shared" si="1"/>
        <v>966.76</v>
      </c>
      <c r="N7" s="116">
        <f t="shared" si="1"/>
        <v>966.76</v>
      </c>
      <c r="O7" s="116">
        <f t="shared" si="1"/>
        <v>966.76</v>
      </c>
      <c r="P7" s="116">
        <f t="shared" si="1"/>
        <v>966.76</v>
      </c>
      <c r="Q7" s="116">
        <f t="shared" ref="Q7:Q9" si="2">SUM(E7:P7)</f>
        <v>11601.12</v>
      </c>
      <c r="R7" s="116"/>
    </row>
    <row r="8" spans="1:20" s="54" customFormat="1" x14ac:dyDescent="0.25">
      <c r="A8" s="54" t="s">
        <v>513</v>
      </c>
      <c r="B8" s="197" t="s">
        <v>531</v>
      </c>
      <c r="C8" s="190">
        <v>1240</v>
      </c>
      <c r="D8" s="191">
        <v>21.492967741935484</v>
      </c>
      <c r="E8" s="116">
        <v>1379.9</v>
      </c>
      <c r="F8" s="116">
        <f t="shared" si="1"/>
        <v>1379.9</v>
      </c>
      <c r="G8" s="116">
        <f t="shared" si="1"/>
        <v>1379.9</v>
      </c>
      <c r="H8" s="116">
        <f t="shared" si="1"/>
        <v>1379.9</v>
      </c>
      <c r="I8" s="116">
        <f t="shared" si="1"/>
        <v>1379.9</v>
      </c>
      <c r="J8" s="116">
        <f t="shared" si="1"/>
        <v>1379.9</v>
      </c>
      <c r="K8" s="116">
        <f t="shared" si="1"/>
        <v>1379.9</v>
      </c>
      <c r="L8" s="116">
        <f t="shared" si="1"/>
        <v>1379.9</v>
      </c>
      <c r="M8" s="116">
        <f t="shared" si="1"/>
        <v>1379.9</v>
      </c>
      <c r="N8" s="116">
        <f t="shared" si="1"/>
        <v>1379.9</v>
      </c>
      <c r="O8" s="116">
        <f t="shared" si="1"/>
        <v>1379.9</v>
      </c>
      <c r="P8" s="116">
        <f t="shared" si="1"/>
        <v>1379.9</v>
      </c>
      <c r="Q8" s="116">
        <f t="shared" si="2"/>
        <v>16558.8</v>
      </c>
      <c r="R8" s="116"/>
    </row>
    <row r="9" spans="1:20" s="54" customFormat="1" x14ac:dyDescent="0.25">
      <c r="A9" s="54" t="s">
        <v>514</v>
      </c>
      <c r="B9" s="197" t="s">
        <v>531</v>
      </c>
      <c r="C9" s="190">
        <v>976</v>
      </c>
      <c r="D9" s="191">
        <v>24.041065573770489</v>
      </c>
      <c r="E9" s="116">
        <v>2509.6799999999998</v>
      </c>
      <c r="F9" s="116">
        <f t="shared" si="1"/>
        <v>2509.6799999999998</v>
      </c>
      <c r="G9" s="116">
        <f t="shared" si="1"/>
        <v>2509.6799999999998</v>
      </c>
      <c r="H9" s="116">
        <f t="shared" si="1"/>
        <v>2509.6799999999998</v>
      </c>
      <c r="I9" s="116">
        <f t="shared" si="1"/>
        <v>2509.6799999999998</v>
      </c>
      <c r="J9" s="116">
        <f t="shared" si="1"/>
        <v>2509.6799999999998</v>
      </c>
      <c r="K9" s="116">
        <f t="shared" si="1"/>
        <v>2509.6799999999998</v>
      </c>
      <c r="L9" s="116">
        <f t="shared" si="1"/>
        <v>2509.6799999999998</v>
      </c>
      <c r="M9" s="116">
        <f t="shared" si="1"/>
        <v>2509.6799999999998</v>
      </c>
      <c r="N9" s="116">
        <f t="shared" si="1"/>
        <v>2509.6799999999998</v>
      </c>
      <c r="O9" s="116">
        <f t="shared" si="1"/>
        <v>2509.6799999999998</v>
      </c>
      <c r="P9" s="116">
        <f t="shared" si="1"/>
        <v>2509.6799999999998</v>
      </c>
      <c r="Q9" s="116">
        <f t="shared" si="2"/>
        <v>30116.16</v>
      </c>
      <c r="R9" s="116"/>
    </row>
    <row r="10" spans="1:20" s="54" customFormat="1" x14ac:dyDescent="0.25">
      <c r="A10" s="54" t="s">
        <v>515</v>
      </c>
      <c r="B10" s="197" t="s">
        <v>531</v>
      </c>
      <c r="C10" s="190">
        <v>1216</v>
      </c>
      <c r="D10" s="191">
        <v>24.345592105263155</v>
      </c>
      <c r="E10" s="116">
        <v>338.92</v>
      </c>
      <c r="F10" s="116">
        <f t="shared" si="1"/>
        <v>338.92</v>
      </c>
      <c r="G10" s="116">
        <f t="shared" si="1"/>
        <v>338.92</v>
      </c>
      <c r="H10" s="116">
        <f t="shared" si="1"/>
        <v>338.92</v>
      </c>
      <c r="I10" s="116">
        <f t="shared" si="1"/>
        <v>338.92</v>
      </c>
      <c r="J10" s="116">
        <f t="shared" si="1"/>
        <v>338.92</v>
      </c>
      <c r="K10" s="116">
        <f t="shared" si="1"/>
        <v>338.92</v>
      </c>
      <c r="L10" s="116">
        <f t="shared" si="1"/>
        <v>338.92</v>
      </c>
      <c r="M10" s="116">
        <f t="shared" si="1"/>
        <v>338.92</v>
      </c>
      <c r="N10" s="116">
        <f t="shared" si="1"/>
        <v>338.92</v>
      </c>
      <c r="O10" s="116">
        <f t="shared" si="1"/>
        <v>338.92</v>
      </c>
      <c r="P10" s="116">
        <f t="shared" si="1"/>
        <v>338.92</v>
      </c>
      <c r="Q10" s="116">
        <f>SUM(E10:P10)</f>
        <v>4067.0400000000004</v>
      </c>
      <c r="R10" s="116"/>
    </row>
    <row r="11" spans="1:20" s="54" customFormat="1" x14ac:dyDescent="0.25">
      <c r="A11" s="54" t="s">
        <v>516</v>
      </c>
      <c r="B11" s="197" t="s">
        <v>531</v>
      </c>
      <c r="C11" s="190">
        <v>24000</v>
      </c>
      <c r="D11" s="190">
        <v>16</v>
      </c>
      <c r="E11" s="116">
        <v>1528.85</v>
      </c>
      <c r="F11" s="116">
        <f t="shared" si="1"/>
        <v>1528.85</v>
      </c>
      <c r="G11" s="116">
        <f t="shared" si="1"/>
        <v>1528.85</v>
      </c>
      <c r="H11" s="116">
        <f t="shared" si="1"/>
        <v>1528.85</v>
      </c>
      <c r="I11" s="116">
        <f t="shared" si="1"/>
        <v>1528.85</v>
      </c>
      <c r="J11" s="116">
        <f t="shared" si="1"/>
        <v>1528.85</v>
      </c>
      <c r="K11" s="116">
        <f t="shared" si="1"/>
        <v>1528.85</v>
      </c>
      <c r="L11" s="116">
        <f t="shared" si="1"/>
        <v>1528.85</v>
      </c>
      <c r="M11" s="116">
        <f t="shared" si="1"/>
        <v>1528.85</v>
      </c>
      <c r="N11" s="116">
        <f t="shared" si="1"/>
        <v>1528.85</v>
      </c>
      <c r="O11" s="116">
        <f t="shared" si="1"/>
        <v>1528.85</v>
      </c>
      <c r="P11" s="116">
        <f t="shared" si="1"/>
        <v>1528.85</v>
      </c>
      <c r="Q11" s="116">
        <f t="shared" ref="Q11:Q22" si="3">SUM(E11:P11)</f>
        <v>18346.2</v>
      </c>
      <c r="R11" s="116"/>
      <c r="T11" s="54" t="s">
        <v>375</v>
      </c>
    </row>
    <row r="12" spans="1:20" s="54" customFormat="1" x14ac:dyDescent="0.25">
      <c r="A12" s="54" t="s">
        <v>517</v>
      </c>
      <c r="B12" s="197" t="s">
        <v>531</v>
      </c>
      <c r="C12" s="192">
        <v>2000</v>
      </c>
      <c r="D12" s="190">
        <v>21.995999999999999</v>
      </c>
      <c r="E12" s="116">
        <v>1571.65</v>
      </c>
      <c r="F12" s="116">
        <f t="shared" si="1"/>
        <v>1571.65</v>
      </c>
      <c r="G12" s="116">
        <f t="shared" si="1"/>
        <v>1571.65</v>
      </c>
      <c r="H12" s="116">
        <f t="shared" si="1"/>
        <v>1571.65</v>
      </c>
      <c r="I12" s="116">
        <f t="shared" si="1"/>
        <v>1571.65</v>
      </c>
      <c r="J12" s="116">
        <f t="shared" si="1"/>
        <v>1571.65</v>
      </c>
      <c r="K12" s="116">
        <f t="shared" si="1"/>
        <v>1571.65</v>
      </c>
      <c r="L12" s="116">
        <f t="shared" si="1"/>
        <v>1571.65</v>
      </c>
      <c r="M12" s="116">
        <f t="shared" si="1"/>
        <v>1571.65</v>
      </c>
      <c r="N12" s="116">
        <f t="shared" si="1"/>
        <v>1571.65</v>
      </c>
      <c r="O12" s="116">
        <f t="shared" si="1"/>
        <v>1571.65</v>
      </c>
      <c r="P12" s="116">
        <f t="shared" si="1"/>
        <v>1571.65</v>
      </c>
      <c r="Q12" s="116">
        <f t="shared" si="3"/>
        <v>18859.8</v>
      </c>
      <c r="R12" s="116"/>
      <c r="T12" s="54" t="s">
        <v>376</v>
      </c>
    </row>
    <row r="13" spans="1:20" s="54" customFormat="1" x14ac:dyDescent="0.25">
      <c r="A13" s="193" t="s">
        <v>518</v>
      </c>
      <c r="B13" s="59" t="s">
        <v>531</v>
      </c>
      <c r="C13" s="194">
        <v>1980</v>
      </c>
      <c r="D13" s="194">
        <v>20</v>
      </c>
      <c r="E13" s="195">
        <v>1224.69</v>
      </c>
      <c r="F13" s="116">
        <f t="shared" si="1"/>
        <v>1224.69</v>
      </c>
      <c r="G13" s="116">
        <f t="shared" si="1"/>
        <v>1224.69</v>
      </c>
      <c r="H13" s="116">
        <f t="shared" si="1"/>
        <v>1224.69</v>
      </c>
      <c r="I13" s="116">
        <f t="shared" si="1"/>
        <v>1224.69</v>
      </c>
      <c r="J13" s="116">
        <f t="shared" si="1"/>
        <v>1224.69</v>
      </c>
      <c r="K13" s="116">
        <f t="shared" si="1"/>
        <v>1224.69</v>
      </c>
      <c r="L13" s="116">
        <f t="shared" si="1"/>
        <v>1224.69</v>
      </c>
      <c r="M13" s="116">
        <f t="shared" si="1"/>
        <v>1224.69</v>
      </c>
      <c r="N13" s="116">
        <f t="shared" si="1"/>
        <v>1224.69</v>
      </c>
      <c r="O13" s="116">
        <f t="shared" si="1"/>
        <v>1224.69</v>
      </c>
      <c r="P13" s="116">
        <f t="shared" si="1"/>
        <v>1224.69</v>
      </c>
      <c r="Q13" s="116">
        <f t="shared" si="3"/>
        <v>14696.280000000004</v>
      </c>
      <c r="R13" s="116"/>
      <c r="T13" s="54" t="s">
        <v>377</v>
      </c>
    </row>
    <row r="14" spans="1:20" s="54" customFormat="1" x14ac:dyDescent="0.25">
      <c r="A14" s="54" t="s">
        <v>519</v>
      </c>
      <c r="B14" s="197" t="s">
        <v>531</v>
      </c>
      <c r="C14" s="190">
        <v>2000</v>
      </c>
      <c r="D14" s="190">
        <v>13.999979999999999</v>
      </c>
      <c r="E14" s="116">
        <v>2459.88</v>
      </c>
      <c r="F14" s="116">
        <f t="shared" si="1"/>
        <v>2459.88</v>
      </c>
      <c r="G14" s="116">
        <f t="shared" si="1"/>
        <v>2459.88</v>
      </c>
      <c r="H14" s="116">
        <f t="shared" si="1"/>
        <v>2459.88</v>
      </c>
      <c r="I14" s="116">
        <f t="shared" si="1"/>
        <v>2459.88</v>
      </c>
      <c r="J14" s="116">
        <f t="shared" si="1"/>
        <v>2459.88</v>
      </c>
      <c r="K14" s="116">
        <f t="shared" si="1"/>
        <v>2459.88</v>
      </c>
      <c r="L14" s="116">
        <f t="shared" si="1"/>
        <v>2459.88</v>
      </c>
      <c r="M14" s="116">
        <f t="shared" si="1"/>
        <v>2459.88</v>
      </c>
      <c r="N14" s="116">
        <f t="shared" si="1"/>
        <v>2459.88</v>
      </c>
      <c r="O14" s="116">
        <f t="shared" si="1"/>
        <v>2459.88</v>
      </c>
      <c r="P14" s="116">
        <f t="shared" si="1"/>
        <v>2459.88</v>
      </c>
      <c r="Q14" s="116">
        <f t="shared" si="3"/>
        <v>29518.560000000009</v>
      </c>
      <c r="R14" s="116"/>
    </row>
    <row r="15" spans="1:20" s="54" customFormat="1" x14ac:dyDescent="0.25">
      <c r="A15" s="54" t="s">
        <v>520</v>
      </c>
      <c r="B15" s="197" t="s">
        <v>531</v>
      </c>
      <c r="C15" s="190">
        <v>1980</v>
      </c>
      <c r="D15" s="190">
        <v>16.163636363636364</v>
      </c>
      <c r="E15" s="116">
        <v>639.12</v>
      </c>
      <c r="F15" s="116">
        <f t="shared" si="1"/>
        <v>639.12</v>
      </c>
      <c r="G15" s="116">
        <f t="shared" si="1"/>
        <v>639.12</v>
      </c>
      <c r="H15" s="116">
        <f t="shared" si="1"/>
        <v>639.12</v>
      </c>
      <c r="I15" s="116">
        <f t="shared" si="1"/>
        <v>639.12</v>
      </c>
      <c r="J15" s="116">
        <f t="shared" si="1"/>
        <v>639.12</v>
      </c>
      <c r="K15" s="116">
        <f t="shared" si="1"/>
        <v>639.12</v>
      </c>
      <c r="L15" s="116">
        <f t="shared" si="1"/>
        <v>639.12</v>
      </c>
      <c r="M15" s="116">
        <f t="shared" si="1"/>
        <v>639.12</v>
      </c>
      <c r="N15" s="116">
        <f t="shared" si="1"/>
        <v>639.12</v>
      </c>
      <c r="O15" s="116">
        <f t="shared" si="1"/>
        <v>639.12</v>
      </c>
      <c r="P15" s="116">
        <f t="shared" si="1"/>
        <v>639.12</v>
      </c>
      <c r="Q15" s="116">
        <f t="shared" si="3"/>
        <v>7669.44</v>
      </c>
      <c r="R15" s="116"/>
    </row>
    <row r="16" spans="1:20" s="54" customFormat="1" x14ac:dyDescent="0.25">
      <c r="A16" s="54" t="s">
        <v>521</v>
      </c>
      <c r="B16" s="197" t="s">
        <v>531</v>
      </c>
      <c r="C16" s="190">
        <v>2000</v>
      </c>
      <c r="D16" s="190">
        <v>0</v>
      </c>
      <c r="E16" s="116">
        <v>1226.21</v>
      </c>
      <c r="F16" s="116">
        <f t="shared" si="1"/>
        <v>1226.21</v>
      </c>
      <c r="G16" s="116">
        <f t="shared" si="1"/>
        <v>1226.21</v>
      </c>
      <c r="H16" s="116">
        <f t="shared" si="1"/>
        <v>1226.21</v>
      </c>
      <c r="I16" s="116">
        <f t="shared" si="1"/>
        <v>1226.21</v>
      </c>
      <c r="J16" s="116">
        <f t="shared" si="1"/>
        <v>1226.21</v>
      </c>
      <c r="K16" s="116">
        <f t="shared" si="1"/>
        <v>1226.21</v>
      </c>
      <c r="L16" s="116">
        <f t="shared" si="1"/>
        <v>1226.21</v>
      </c>
      <c r="M16" s="116">
        <f t="shared" si="1"/>
        <v>1226.21</v>
      </c>
      <c r="N16" s="116">
        <f t="shared" si="1"/>
        <v>1226.21</v>
      </c>
      <c r="O16" s="116">
        <f t="shared" si="1"/>
        <v>1226.21</v>
      </c>
      <c r="P16" s="116">
        <f t="shared" si="1"/>
        <v>1226.21</v>
      </c>
      <c r="Q16" s="116">
        <f t="shared" si="3"/>
        <v>14714.519999999997</v>
      </c>
      <c r="R16" s="116"/>
    </row>
    <row r="17" spans="1:18" s="54" customFormat="1" x14ac:dyDescent="0.25">
      <c r="A17" s="54" t="s">
        <v>522</v>
      </c>
      <c r="B17" s="197" t="s">
        <v>531</v>
      </c>
      <c r="C17" s="190">
        <v>7800</v>
      </c>
      <c r="D17" s="190">
        <v>9.5276923076923072</v>
      </c>
      <c r="E17" s="116">
        <v>1373.54</v>
      </c>
      <c r="F17" s="116">
        <f t="shared" si="1"/>
        <v>1373.54</v>
      </c>
      <c r="G17" s="116">
        <f t="shared" si="1"/>
        <v>1373.54</v>
      </c>
      <c r="H17" s="116">
        <f t="shared" si="1"/>
        <v>1373.54</v>
      </c>
      <c r="I17" s="116">
        <f t="shared" si="1"/>
        <v>1373.54</v>
      </c>
      <c r="J17" s="116">
        <f t="shared" si="1"/>
        <v>1373.54</v>
      </c>
      <c r="K17" s="116">
        <f t="shared" si="1"/>
        <v>1373.54</v>
      </c>
      <c r="L17" s="116">
        <f t="shared" si="1"/>
        <v>1373.54</v>
      </c>
      <c r="M17" s="116">
        <f t="shared" si="1"/>
        <v>1373.54</v>
      </c>
      <c r="N17" s="116">
        <f t="shared" si="1"/>
        <v>1373.54</v>
      </c>
      <c r="O17" s="116">
        <f t="shared" si="1"/>
        <v>1373.54</v>
      </c>
      <c r="P17" s="116">
        <f t="shared" si="1"/>
        <v>1373.54</v>
      </c>
      <c r="Q17" s="116">
        <f t="shared" si="3"/>
        <v>16482.480000000003</v>
      </c>
      <c r="R17" s="116"/>
    </row>
    <row r="18" spans="1:18" s="54" customFormat="1" x14ac:dyDescent="0.25">
      <c r="A18" s="54" t="s">
        <v>523</v>
      </c>
      <c r="B18" s="197" t="s">
        <v>531</v>
      </c>
      <c r="C18" s="190">
        <v>3000</v>
      </c>
      <c r="D18" s="190">
        <v>27.867999999999999</v>
      </c>
      <c r="E18" s="116">
        <v>0</v>
      </c>
      <c r="F18" s="116">
        <f t="shared" si="1"/>
        <v>0</v>
      </c>
      <c r="G18" s="116">
        <f t="shared" si="1"/>
        <v>0</v>
      </c>
      <c r="H18" s="116">
        <f t="shared" si="1"/>
        <v>0</v>
      </c>
      <c r="I18" s="116">
        <f t="shared" si="1"/>
        <v>0</v>
      </c>
      <c r="J18" s="116">
        <f t="shared" si="1"/>
        <v>0</v>
      </c>
      <c r="K18" s="116">
        <f t="shared" si="1"/>
        <v>0</v>
      </c>
      <c r="L18" s="116">
        <f t="shared" si="1"/>
        <v>0</v>
      </c>
      <c r="M18" s="116">
        <f t="shared" si="1"/>
        <v>0</v>
      </c>
      <c r="N18" s="116">
        <f t="shared" si="1"/>
        <v>0</v>
      </c>
      <c r="O18" s="116">
        <f t="shared" si="1"/>
        <v>0</v>
      </c>
      <c r="P18" s="116">
        <f t="shared" si="1"/>
        <v>0</v>
      </c>
      <c r="Q18" s="116">
        <f t="shared" si="3"/>
        <v>0</v>
      </c>
      <c r="R18" s="116"/>
    </row>
    <row r="19" spans="1:18" s="54" customFormat="1" x14ac:dyDescent="0.25">
      <c r="A19" s="54" t="s">
        <v>524</v>
      </c>
      <c r="B19" s="197" t="s">
        <v>531</v>
      </c>
      <c r="C19" s="190">
        <v>8700</v>
      </c>
      <c r="D19" s="190">
        <v>22</v>
      </c>
      <c r="E19" s="116">
        <v>1570.33</v>
      </c>
      <c r="F19" s="116">
        <f t="shared" si="1"/>
        <v>1570.33</v>
      </c>
      <c r="G19" s="116">
        <f t="shared" si="1"/>
        <v>1570.33</v>
      </c>
      <c r="H19" s="116">
        <f t="shared" si="1"/>
        <v>1570.33</v>
      </c>
      <c r="I19" s="116">
        <f t="shared" si="1"/>
        <v>1570.33</v>
      </c>
      <c r="J19" s="116">
        <f t="shared" si="1"/>
        <v>1570.33</v>
      </c>
      <c r="K19" s="116">
        <f t="shared" si="1"/>
        <v>1570.33</v>
      </c>
      <c r="L19" s="116">
        <f t="shared" si="1"/>
        <v>1570.33</v>
      </c>
      <c r="M19" s="116">
        <f t="shared" si="1"/>
        <v>1570.33</v>
      </c>
      <c r="N19" s="116">
        <f t="shared" si="1"/>
        <v>1570.33</v>
      </c>
      <c r="O19" s="116">
        <f t="shared" si="1"/>
        <v>1570.33</v>
      </c>
      <c r="P19" s="116">
        <f t="shared" si="1"/>
        <v>1570.33</v>
      </c>
      <c r="Q19" s="116">
        <f t="shared" si="3"/>
        <v>18843.96</v>
      </c>
      <c r="R19" s="116"/>
    </row>
    <row r="20" spans="1:18" s="54" customFormat="1" x14ac:dyDescent="0.25">
      <c r="A20" s="189" t="s">
        <v>525</v>
      </c>
      <c r="B20" s="197" t="s">
        <v>531</v>
      </c>
      <c r="C20" s="190">
        <v>3000</v>
      </c>
      <c r="D20" s="190">
        <v>13.383200000000002</v>
      </c>
      <c r="E20" s="116">
        <v>1249.1300000000001</v>
      </c>
      <c r="F20" s="116">
        <f t="shared" si="1"/>
        <v>1249.1300000000001</v>
      </c>
      <c r="G20" s="116">
        <f t="shared" si="1"/>
        <v>1249.1300000000001</v>
      </c>
      <c r="H20" s="116">
        <f t="shared" si="1"/>
        <v>1249.1300000000001</v>
      </c>
      <c r="I20" s="116">
        <f t="shared" si="1"/>
        <v>1249.1300000000001</v>
      </c>
      <c r="J20" s="116">
        <f t="shared" si="1"/>
        <v>1249.1300000000001</v>
      </c>
      <c r="K20" s="116">
        <f t="shared" si="1"/>
        <v>1249.1300000000001</v>
      </c>
      <c r="L20" s="116">
        <f t="shared" si="1"/>
        <v>1249.1300000000001</v>
      </c>
      <c r="M20" s="116">
        <f t="shared" si="1"/>
        <v>1249.1300000000001</v>
      </c>
      <c r="N20" s="116">
        <f t="shared" si="1"/>
        <v>1249.1300000000001</v>
      </c>
      <c r="O20" s="116">
        <f t="shared" si="1"/>
        <v>1249.1300000000001</v>
      </c>
      <c r="P20" s="116">
        <f t="shared" si="1"/>
        <v>1249.1300000000001</v>
      </c>
      <c r="Q20" s="116">
        <f t="shared" si="3"/>
        <v>14989.560000000005</v>
      </c>
      <c r="R20" s="116"/>
    </row>
    <row r="21" spans="1:18" s="54" customFormat="1" x14ac:dyDescent="0.25">
      <c r="A21" s="189" t="s">
        <v>526</v>
      </c>
      <c r="B21" s="197" t="s">
        <v>531</v>
      </c>
      <c r="C21" s="190"/>
      <c r="D21" s="190"/>
      <c r="E21" s="116">
        <v>1122.08</v>
      </c>
      <c r="F21" s="116">
        <f t="shared" si="1"/>
        <v>1122.08</v>
      </c>
      <c r="G21" s="116">
        <f t="shared" si="1"/>
        <v>1122.08</v>
      </c>
      <c r="H21" s="116">
        <f t="shared" si="1"/>
        <v>1122.08</v>
      </c>
      <c r="I21" s="116">
        <f t="shared" si="1"/>
        <v>1122.08</v>
      </c>
      <c r="J21" s="116">
        <f t="shared" si="1"/>
        <v>1122.08</v>
      </c>
      <c r="K21" s="116">
        <f t="shared" si="1"/>
        <v>1122.08</v>
      </c>
      <c r="L21" s="116">
        <f t="shared" si="1"/>
        <v>1122.08</v>
      </c>
      <c r="M21" s="116">
        <f t="shared" si="1"/>
        <v>1122.08</v>
      </c>
      <c r="N21" s="116">
        <f t="shared" si="1"/>
        <v>1122.08</v>
      </c>
      <c r="O21" s="116">
        <f t="shared" si="1"/>
        <v>1122.08</v>
      </c>
      <c r="P21" s="116">
        <f t="shared" si="1"/>
        <v>1122.08</v>
      </c>
      <c r="Q21" s="116">
        <f t="shared" si="3"/>
        <v>13464.96</v>
      </c>
      <c r="R21" s="116"/>
    </row>
    <row r="22" spans="1:18" s="54" customFormat="1" x14ac:dyDescent="0.25">
      <c r="A22" s="189" t="s">
        <v>527</v>
      </c>
      <c r="B22" s="197" t="s">
        <v>531</v>
      </c>
      <c r="C22" s="190"/>
      <c r="D22" s="190"/>
      <c r="E22" s="116">
        <v>1276.8</v>
      </c>
      <c r="F22" s="116">
        <f t="shared" si="1"/>
        <v>1276.8</v>
      </c>
      <c r="G22" s="116">
        <f t="shared" si="1"/>
        <v>1276.8</v>
      </c>
      <c r="H22" s="116">
        <f t="shared" si="1"/>
        <v>1276.8</v>
      </c>
      <c r="I22" s="116">
        <f t="shared" si="1"/>
        <v>1276.8</v>
      </c>
      <c r="J22" s="116">
        <f t="shared" si="1"/>
        <v>1276.8</v>
      </c>
      <c r="K22" s="116">
        <f t="shared" si="1"/>
        <v>1276.8</v>
      </c>
      <c r="L22" s="116">
        <f t="shared" si="1"/>
        <v>1276.8</v>
      </c>
      <c r="M22" s="116">
        <f t="shared" si="1"/>
        <v>1276.8</v>
      </c>
      <c r="N22" s="116">
        <f t="shared" si="1"/>
        <v>1276.8</v>
      </c>
      <c r="O22" s="116">
        <f t="shared" si="1"/>
        <v>1276.8</v>
      </c>
      <c r="P22" s="116">
        <f t="shared" si="1"/>
        <v>1276.8</v>
      </c>
      <c r="Q22" s="116">
        <f t="shared" si="3"/>
        <v>15321.599999999997</v>
      </c>
      <c r="R22" s="116"/>
    </row>
    <row r="23" spans="1:18" s="54" customFormat="1" x14ac:dyDescent="0.25">
      <c r="A23" s="189" t="s">
        <v>528</v>
      </c>
      <c r="B23" s="197" t="s">
        <v>531</v>
      </c>
      <c r="C23" s="190"/>
      <c r="D23" s="190"/>
      <c r="E23" s="116">
        <v>1160.57</v>
      </c>
      <c r="F23" s="116">
        <f t="shared" si="1"/>
        <v>1160.57</v>
      </c>
      <c r="G23" s="116">
        <f t="shared" si="1"/>
        <v>1160.57</v>
      </c>
      <c r="H23" s="116">
        <f t="shared" si="1"/>
        <v>1160.57</v>
      </c>
      <c r="I23" s="116">
        <f t="shared" si="1"/>
        <v>1160.57</v>
      </c>
      <c r="J23" s="116">
        <f t="shared" si="1"/>
        <v>1160.57</v>
      </c>
      <c r="K23" s="116">
        <f t="shared" si="1"/>
        <v>1160.57</v>
      </c>
      <c r="L23" s="116">
        <f t="shared" si="1"/>
        <v>1160.57</v>
      </c>
      <c r="M23" s="116">
        <f t="shared" si="1"/>
        <v>1160.57</v>
      </c>
      <c r="N23" s="116">
        <f t="shared" si="1"/>
        <v>1160.57</v>
      </c>
      <c r="O23" s="116">
        <f t="shared" si="1"/>
        <v>1160.57</v>
      </c>
      <c r="P23" s="116">
        <f t="shared" si="1"/>
        <v>1160.57</v>
      </c>
      <c r="Q23" s="116"/>
      <c r="R23" s="116"/>
    </row>
    <row r="24" spans="1:18" s="54" customFormat="1" x14ac:dyDescent="0.25">
      <c r="A24" s="189" t="s">
        <v>529</v>
      </c>
      <c r="B24" s="197" t="s">
        <v>531</v>
      </c>
      <c r="C24" s="190"/>
      <c r="D24" s="190"/>
      <c r="E24" s="116">
        <v>4571.8</v>
      </c>
      <c r="F24" s="116">
        <f t="shared" si="1"/>
        <v>4571.8</v>
      </c>
      <c r="G24" s="116">
        <f t="shared" si="1"/>
        <v>4571.8</v>
      </c>
      <c r="H24" s="116">
        <f t="shared" si="1"/>
        <v>4571.8</v>
      </c>
      <c r="I24" s="116">
        <f t="shared" si="1"/>
        <v>4571.8</v>
      </c>
      <c r="J24" s="116">
        <f t="shared" si="1"/>
        <v>4571.8</v>
      </c>
      <c r="K24" s="116">
        <f t="shared" si="1"/>
        <v>4571.8</v>
      </c>
      <c r="L24" s="116">
        <f t="shared" si="1"/>
        <v>4571.8</v>
      </c>
      <c r="M24" s="116">
        <f t="shared" si="1"/>
        <v>4571.8</v>
      </c>
      <c r="N24" s="116">
        <f t="shared" si="1"/>
        <v>4571.8</v>
      </c>
      <c r="O24" s="116">
        <f t="shared" si="1"/>
        <v>4571.8</v>
      </c>
      <c r="P24" s="116">
        <f t="shared" si="1"/>
        <v>4571.8</v>
      </c>
      <c r="Q24" s="116"/>
      <c r="R24" s="116"/>
    </row>
    <row r="25" spans="1:18" s="54" customFormat="1" x14ac:dyDescent="0.25">
      <c r="A25" s="189" t="s">
        <v>530</v>
      </c>
      <c r="B25" s="197" t="s">
        <v>531</v>
      </c>
      <c r="C25" s="190"/>
      <c r="D25" s="190"/>
      <c r="E25" s="116">
        <v>2674.44</v>
      </c>
      <c r="F25" s="116">
        <f t="shared" si="1"/>
        <v>2674.44</v>
      </c>
      <c r="G25" s="116">
        <f t="shared" si="1"/>
        <v>2674.44</v>
      </c>
      <c r="H25" s="116">
        <f t="shared" si="1"/>
        <v>2674.44</v>
      </c>
      <c r="I25" s="116">
        <f t="shared" si="1"/>
        <v>2674.44</v>
      </c>
      <c r="J25" s="116">
        <f t="shared" si="1"/>
        <v>2674.44</v>
      </c>
      <c r="K25" s="116">
        <f t="shared" si="1"/>
        <v>2674.44</v>
      </c>
      <c r="L25" s="116">
        <f t="shared" si="1"/>
        <v>2674.44</v>
      </c>
      <c r="M25" s="116">
        <f t="shared" si="1"/>
        <v>2674.44</v>
      </c>
      <c r="N25" s="116">
        <f t="shared" si="1"/>
        <v>2674.44</v>
      </c>
      <c r="O25" s="116">
        <f t="shared" si="1"/>
        <v>2674.44</v>
      </c>
      <c r="P25" s="116">
        <f t="shared" si="1"/>
        <v>2674.44</v>
      </c>
      <c r="Q25" s="116"/>
      <c r="R25" s="116"/>
    </row>
    <row r="26" spans="1:18" s="54" customFormat="1" x14ac:dyDescent="0.25">
      <c r="A26" s="189" t="s">
        <v>532</v>
      </c>
      <c r="B26" s="197" t="s">
        <v>531</v>
      </c>
      <c r="C26" s="190"/>
      <c r="D26" s="190"/>
      <c r="E26" s="116"/>
      <c r="F26" s="116">
        <f t="shared" si="1"/>
        <v>0</v>
      </c>
      <c r="G26" s="116">
        <f t="shared" si="1"/>
        <v>0</v>
      </c>
      <c r="H26" s="116">
        <f t="shared" si="1"/>
        <v>0</v>
      </c>
      <c r="I26" s="116">
        <f t="shared" si="1"/>
        <v>0</v>
      </c>
      <c r="J26" s="116">
        <f t="shared" si="1"/>
        <v>0</v>
      </c>
      <c r="K26" s="116">
        <f t="shared" si="1"/>
        <v>0</v>
      </c>
      <c r="L26" s="116">
        <f t="shared" si="1"/>
        <v>0</v>
      </c>
      <c r="M26" s="116">
        <f t="shared" si="1"/>
        <v>0</v>
      </c>
      <c r="N26" s="116">
        <f t="shared" si="1"/>
        <v>0</v>
      </c>
      <c r="O26" s="116">
        <f t="shared" si="1"/>
        <v>0</v>
      </c>
      <c r="P26" s="116">
        <f t="shared" si="1"/>
        <v>0</v>
      </c>
      <c r="Q26" s="116"/>
      <c r="R26" s="116"/>
    </row>
    <row r="27" spans="1:18" s="54" customFormat="1" x14ac:dyDescent="0.25">
      <c r="A27" s="189" t="s">
        <v>533</v>
      </c>
      <c r="B27" s="197" t="s">
        <v>531</v>
      </c>
      <c r="C27" s="190"/>
      <c r="D27" s="190"/>
      <c r="E27" s="116"/>
      <c r="F27" s="116">
        <f t="shared" si="1"/>
        <v>0</v>
      </c>
      <c r="G27" s="116">
        <f t="shared" si="1"/>
        <v>0</v>
      </c>
      <c r="H27" s="116">
        <f t="shared" si="1"/>
        <v>0</v>
      </c>
      <c r="I27" s="116">
        <f t="shared" si="1"/>
        <v>0</v>
      </c>
      <c r="J27" s="116">
        <f t="shared" si="1"/>
        <v>0</v>
      </c>
      <c r="K27" s="116">
        <f t="shared" si="1"/>
        <v>0</v>
      </c>
      <c r="L27" s="116">
        <f t="shared" si="1"/>
        <v>0</v>
      </c>
      <c r="M27" s="116">
        <f t="shared" si="1"/>
        <v>0</v>
      </c>
      <c r="N27" s="116">
        <f t="shared" si="1"/>
        <v>0</v>
      </c>
      <c r="O27" s="116">
        <f t="shared" si="1"/>
        <v>0</v>
      </c>
      <c r="P27" s="116">
        <f t="shared" si="1"/>
        <v>0</v>
      </c>
      <c r="Q27" s="116"/>
      <c r="R27" s="116"/>
    </row>
    <row r="28" spans="1:18" x14ac:dyDescent="0.25">
      <c r="A28" s="125"/>
      <c r="Q28" s="116"/>
    </row>
    <row r="29" spans="1:18" x14ac:dyDescent="0.25">
      <c r="A29" s="125"/>
      <c r="Q29" s="116"/>
    </row>
    <row r="30" spans="1:18" x14ac:dyDescent="0.25">
      <c r="A30" s="125"/>
      <c r="Q30" s="116"/>
    </row>
    <row r="31" spans="1:18" x14ac:dyDescent="0.25">
      <c r="A31" s="125"/>
      <c r="Q31" s="116"/>
    </row>
    <row r="32" spans="1:18" x14ac:dyDescent="0.25">
      <c r="A32" s="125"/>
      <c r="Q32" s="116"/>
    </row>
    <row r="33" spans="1:18" x14ac:dyDescent="0.25">
      <c r="C33" s="105">
        <f>SUM(C7:C15)</f>
        <v>52588</v>
      </c>
    </row>
    <row r="34" spans="1:18" s="117" customFormat="1" x14ac:dyDescent="0.25">
      <c r="A34" s="117" t="s">
        <v>206</v>
      </c>
      <c r="B34" s="118"/>
      <c r="C34" s="119"/>
      <c r="D34" s="119"/>
      <c r="E34" s="120">
        <f t="shared" ref="E34:P34" si="4">SUM(E6:E33)</f>
        <v>30703.249999999996</v>
      </c>
      <c r="F34" s="120">
        <f t="shared" si="4"/>
        <v>30703.249999999996</v>
      </c>
      <c r="G34" s="120">
        <f t="shared" si="4"/>
        <v>30703.249999999996</v>
      </c>
      <c r="H34" s="120">
        <f t="shared" si="4"/>
        <v>30703.249999999996</v>
      </c>
      <c r="I34" s="120">
        <f t="shared" si="4"/>
        <v>30703.249999999996</v>
      </c>
      <c r="J34" s="120">
        <f t="shared" si="4"/>
        <v>30703.249999999996</v>
      </c>
      <c r="K34" s="120">
        <f t="shared" si="4"/>
        <v>30703.249999999996</v>
      </c>
      <c r="L34" s="120">
        <f t="shared" si="4"/>
        <v>30703.249999999996</v>
      </c>
      <c r="M34" s="120">
        <f t="shared" si="4"/>
        <v>30703.249999999996</v>
      </c>
      <c r="N34" s="120">
        <f t="shared" si="4"/>
        <v>30703.249999999996</v>
      </c>
      <c r="O34" s="120">
        <f t="shared" si="4"/>
        <v>30703.249999999996</v>
      </c>
      <c r="P34" s="120">
        <f t="shared" si="4"/>
        <v>30703.249999999996</v>
      </c>
      <c r="Q34" s="120">
        <f>SUM(E34:P34)</f>
        <v>368438.99999999994</v>
      </c>
      <c r="R34" s="1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zoomScale="90" zoomScaleNormal="9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P27" sqref="P27"/>
    </sheetView>
  </sheetViews>
  <sheetFormatPr defaultRowHeight="15" x14ac:dyDescent="0.25"/>
  <cols>
    <col min="1" max="1" width="40.42578125" style="31" customWidth="1"/>
    <col min="2" max="2" width="9.140625" style="32"/>
    <col min="3" max="4" width="9.140625" style="102"/>
    <col min="5" max="16" width="9.140625" style="103"/>
    <col min="17" max="17" width="11.5703125" style="103" bestFit="1" customWidth="1"/>
    <col min="18" max="18" width="9.140625" style="103"/>
    <col min="19" max="19" width="9.140625" style="31"/>
    <col min="20" max="20" width="65.28515625" style="31" customWidth="1"/>
    <col min="21" max="16384" width="9.140625" style="31"/>
  </cols>
  <sheetData>
    <row r="1" spans="1:20" x14ac:dyDescent="0.25">
      <c r="A1" s="12" t="s">
        <v>431</v>
      </c>
    </row>
    <row r="2" spans="1:20" x14ac:dyDescent="0.25">
      <c r="A2" s="12" t="s">
        <v>380</v>
      </c>
    </row>
    <row r="4" spans="1:20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7" t="s">
        <v>374</v>
      </c>
      <c r="S4" s="104" t="s">
        <v>0</v>
      </c>
      <c r="T4" s="104" t="s">
        <v>203</v>
      </c>
    </row>
    <row r="6" spans="1:20" s="24" customFormat="1" x14ac:dyDescent="0.25">
      <c r="A6" s="31" t="s">
        <v>511</v>
      </c>
      <c r="B6" s="32" t="s">
        <v>404</v>
      </c>
      <c r="C6" s="102">
        <v>2850</v>
      </c>
      <c r="D6" s="111">
        <v>26.997894736842106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f>SUM(E6:P6)</f>
        <v>0</v>
      </c>
      <c r="R6" s="110"/>
    </row>
    <row r="7" spans="1:20" x14ac:dyDescent="0.25">
      <c r="A7" s="24" t="s">
        <v>512</v>
      </c>
      <c r="B7" s="25" t="s">
        <v>404</v>
      </c>
      <c r="C7" s="108">
        <f>12835+1958+2403</f>
        <v>17196</v>
      </c>
      <c r="D7" s="109">
        <v>16.23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10">
        <f t="shared" ref="Q7:Q9" si="0">SUM(E7:P7)</f>
        <v>0</v>
      </c>
    </row>
    <row r="8" spans="1:20" s="24" customFormat="1" x14ac:dyDescent="0.25">
      <c r="A8" s="31" t="s">
        <v>513</v>
      </c>
      <c r="B8" s="32" t="s">
        <v>404</v>
      </c>
      <c r="C8" s="102">
        <v>1240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  <c r="R8" s="110"/>
    </row>
    <row r="9" spans="1:20" x14ac:dyDescent="0.25">
      <c r="A9" s="24" t="s">
        <v>514</v>
      </c>
      <c r="B9" s="25" t="s">
        <v>404</v>
      </c>
      <c r="C9" s="108">
        <v>976</v>
      </c>
      <c r="D9" s="109">
        <v>24.041065573770489</v>
      </c>
      <c r="E9" s="103">
        <v>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103">
        <v>0</v>
      </c>
      <c r="Q9" s="110">
        <f t="shared" si="0"/>
        <v>0</v>
      </c>
    </row>
    <row r="10" spans="1:20" s="24" customFormat="1" x14ac:dyDescent="0.25">
      <c r="A10" s="31" t="s">
        <v>515</v>
      </c>
      <c r="B10" s="32" t="s">
        <v>404</v>
      </c>
      <c r="C10" s="102">
        <v>1216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  <c r="R10" s="110"/>
    </row>
    <row r="11" spans="1:20" x14ac:dyDescent="0.25">
      <c r="A11" s="31" t="s">
        <v>516</v>
      </c>
      <c r="B11" s="32" t="s">
        <v>404</v>
      </c>
      <c r="C11" s="102">
        <v>24000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  <c r="T11" s="31" t="s">
        <v>375</v>
      </c>
    </row>
    <row r="12" spans="1:20" s="24" customFormat="1" x14ac:dyDescent="0.25">
      <c r="A12" s="31" t="s">
        <v>517</v>
      </c>
      <c r="B12" s="32" t="s">
        <v>404</v>
      </c>
      <c r="C12" s="105">
        <v>2000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  <c r="R12" s="110"/>
      <c r="T12" s="24" t="s">
        <v>376</v>
      </c>
    </row>
    <row r="13" spans="1:20" x14ac:dyDescent="0.25">
      <c r="A13" s="112" t="s">
        <v>518</v>
      </c>
      <c r="B13" s="113" t="s">
        <v>404</v>
      </c>
      <c r="C13" s="114">
        <v>1980</v>
      </c>
      <c r="D13" s="114">
        <v>20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103">
        <v>0</v>
      </c>
      <c r="Q13" s="115">
        <f t="shared" si="1"/>
        <v>0</v>
      </c>
      <c r="T13" s="31" t="s">
        <v>377</v>
      </c>
    </row>
    <row r="14" spans="1:20" x14ac:dyDescent="0.25">
      <c r="A14" s="31" t="s">
        <v>519</v>
      </c>
      <c r="B14" s="32" t="s">
        <v>404</v>
      </c>
      <c r="C14" s="102">
        <v>2000</v>
      </c>
      <c r="D14" s="102">
        <v>13.999979999999999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f t="shared" si="1"/>
        <v>0</v>
      </c>
    </row>
    <row r="15" spans="1:20" x14ac:dyDescent="0.25">
      <c r="A15" s="31" t="s">
        <v>520</v>
      </c>
      <c r="B15" s="32" t="s">
        <v>404</v>
      </c>
      <c r="C15" s="102">
        <v>1980</v>
      </c>
      <c r="D15" s="102">
        <v>16.163636363636364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f t="shared" si="1"/>
        <v>0</v>
      </c>
    </row>
    <row r="16" spans="1:20" s="117" customFormat="1" x14ac:dyDescent="0.25">
      <c r="A16" s="31" t="s">
        <v>521</v>
      </c>
      <c r="B16" s="32" t="s">
        <v>404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  <c r="R16" s="120"/>
    </row>
    <row r="17" spans="1:17" x14ac:dyDescent="0.25">
      <c r="A17" s="31" t="s">
        <v>522</v>
      </c>
      <c r="B17" s="32" t="s">
        <v>404</v>
      </c>
      <c r="C17" s="102">
        <v>7800</v>
      </c>
      <c r="D17" s="102">
        <v>9.5276923076923072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f t="shared" si="1"/>
        <v>0</v>
      </c>
    </row>
    <row r="18" spans="1:17" x14ac:dyDescent="0.25">
      <c r="A18" s="31" t="s">
        <v>523</v>
      </c>
      <c r="B18" s="32" t="s">
        <v>404</v>
      </c>
      <c r="C18" s="102">
        <v>3000</v>
      </c>
      <c r="D18" s="102">
        <v>27.867999999999999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f t="shared" si="1"/>
        <v>0</v>
      </c>
    </row>
    <row r="19" spans="1:17" x14ac:dyDescent="0.25">
      <c r="A19" s="31" t="s">
        <v>524</v>
      </c>
      <c r="B19" s="32" t="s">
        <v>404</v>
      </c>
      <c r="C19" s="102">
        <v>8700</v>
      </c>
      <c r="D19" s="102">
        <v>22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f t="shared" si="1"/>
        <v>0</v>
      </c>
    </row>
    <row r="20" spans="1:17" x14ac:dyDescent="0.25">
      <c r="A20" s="125" t="s">
        <v>525</v>
      </c>
      <c r="B20" s="32" t="s">
        <v>404</v>
      </c>
      <c r="C20" s="102">
        <v>3000</v>
      </c>
      <c r="D20" s="102">
        <v>13.383200000000002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f t="shared" si="1"/>
        <v>0</v>
      </c>
    </row>
    <row r="21" spans="1:17" x14ac:dyDescent="0.25">
      <c r="A21" s="125" t="s">
        <v>526</v>
      </c>
      <c r="E21" s="103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103">
        <v>0</v>
      </c>
    </row>
    <row r="22" spans="1:17" x14ac:dyDescent="0.25">
      <c r="A22" s="125" t="s">
        <v>527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</row>
    <row r="23" spans="1:17" x14ac:dyDescent="0.25">
      <c r="A23" s="125" t="s">
        <v>528</v>
      </c>
      <c r="E23" s="103">
        <v>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103">
        <v>0</v>
      </c>
    </row>
    <row r="24" spans="1:17" x14ac:dyDescent="0.25">
      <c r="A24" s="125" t="s">
        <v>529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103">
        <v>0</v>
      </c>
    </row>
    <row r="25" spans="1:17" x14ac:dyDescent="0.25">
      <c r="A25" s="125" t="s">
        <v>530</v>
      </c>
      <c r="E25" s="103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103">
        <v>0</v>
      </c>
    </row>
    <row r="26" spans="1:17" x14ac:dyDescent="0.25">
      <c r="A26" s="125" t="s">
        <v>532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103">
        <v>0</v>
      </c>
    </row>
    <row r="27" spans="1:17" x14ac:dyDescent="0.25">
      <c r="A27" s="125" t="s">
        <v>533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103">
        <v>0</v>
      </c>
    </row>
    <row r="28" spans="1:17" x14ac:dyDescent="0.25">
      <c r="C28" s="105">
        <f>SUM(C7:C15)</f>
        <v>52588</v>
      </c>
    </row>
    <row r="29" spans="1:17" x14ac:dyDescent="0.25">
      <c r="A29" s="117" t="s">
        <v>206</v>
      </c>
      <c r="B29" s="118"/>
      <c r="C29" s="119"/>
      <c r="D29" s="119"/>
      <c r="E29" s="120">
        <f t="shared" ref="E29:P29" si="2">SUM(E6:E28)</f>
        <v>0</v>
      </c>
      <c r="F29" s="120">
        <f t="shared" si="2"/>
        <v>0</v>
      </c>
      <c r="G29" s="120">
        <f t="shared" si="2"/>
        <v>0</v>
      </c>
      <c r="H29" s="120">
        <f t="shared" si="2"/>
        <v>0</v>
      </c>
      <c r="I29" s="120">
        <f t="shared" si="2"/>
        <v>0</v>
      </c>
      <c r="J29" s="120">
        <f t="shared" si="2"/>
        <v>0</v>
      </c>
      <c r="K29" s="120">
        <f t="shared" si="2"/>
        <v>0</v>
      </c>
      <c r="L29" s="120">
        <f t="shared" si="2"/>
        <v>0</v>
      </c>
      <c r="M29" s="120">
        <f t="shared" si="2"/>
        <v>0</v>
      </c>
      <c r="N29" s="120">
        <f t="shared" si="2"/>
        <v>0</v>
      </c>
      <c r="O29" s="120">
        <f t="shared" si="2"/>
        <v>0</v>
      </c>
      <c r="P29" s="120">
        <f t="shared" si="2"/>
        <v>0</v>
      </c>
      <c r="Q29" s="120">
        <f>SUM(E29:P29)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zoomScale="90" zoomScaleNormal="9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F8" sqref="F8"/>
    </sheetView>
  </sheetViews>
  <sheetFormatPr defaultRowHeight="15" x14ac:dyDescent="0.25"/>
  <cols>
    <col min="1" max="1" width="40.42578125" style="31" customWidth="1"/>
    <col min="2" max="2" width="9.140625" style="32"/>
    <col min="3" max="3" width="9.140625" style="102"/>
    <col min="4" max="16" width="9.140625" style="103"/>
    <col min="17" max="17" width="11.5703125" style="103" bestFit="1" customWidth="1"/>
    <col min="18" max="18" width="9.140625" style="31"/>
    <col min="19" max="19" width="65.28515625" style="31" customWidth="1"/>
    <col min="20" max="16384" width="9.140625" style="31"/>
  </cols>
  <sheetData>
    <row r="1" spans="1:19" x14ac:dyDescent="0.25">
      <c r="A1" s="12" t="s">
        <v>431</v>
      </c>
    </row>
    <row r="2" spans="1:19" x14ac:dyDescent="0.25">
      <c r="A2" s="12" t="s">
        <v>381</v>
      </c>
    </row>
    <row r="4" spans="1:19" s="104" customFormat="1" x14ac:dyDescent="0.25">
      <c r="A4" s="104" t="s">
        <v>372</v>
      </c>
      <c r="B4" s="104" t="s">
        <v>214</v>
      </c>
      <c r="C4" s="105" t="s">
        <v>373</v>
      </c>
      <c r="D4" s="105" t="s">
        <v>429</v>
      </c>
      <c r="E4" s="106" t="s">
        <v>417</v>
      </c>
      <c r="F4" s="106" t="s">
        <v>418</v>
      </c>
      <c r="G4" s="106" t="s">
        <v>419</v>
      </c>
      <c r="H4" s="106" t="s">
        <v>420</v>
      </c>
      <c r="I4" s="106" t="s">
        <v>421</v>
      </c>
      <c r="J4" s="106" t="s">
        <v>422</v>
      </c>
      <c r="K4" s="106" t="s">
        <v>423</v>
      </c>
      <c r="L4" s="106" t="s">
        <v>424</v>
      </c>
      <c r="M4" s="106" t="s">
        <v>425</v>
      </c>
      <c r="N4" s="106" t="s">
        <v>426</v>
      </c>
      <c r="O4" s="106" t="s">
        <v>427</v>
      </c>
      <c r="P4" s="106" t="s">
        <v>428</v>
      </c>
      <c r="Q4" s="107" t="s">
        <v>165</v>
      </c>
      <c r="R4" s="104" t="s">
        <v>0</v>
      </c>
      <c r="S4" s="104" t="s">
        <v>203</v>
      </c>
    </row>
    <row r="6" spans="1:19" s="24" customFormat="1" x14ac:dyDescent="0.25">
      <c r="A6" s="31" t="s">
        <v>511</v>
      </c>
      <c r="B6" s="32" t="s">
        <v>404</v>
      </c>
      <c r="C6" s="102">
        <v>2850</v>
      </c>
      <c r="D6" s="111">
        <v>26.997894736842106</v>
      </c>
      <c r="E6" s="103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103">
        <v>0</v>
      </c>
      <c r="Q6" s="103">
        <f>SUM(E6:P6)</f>
        <v>0</v>
      </c>
    </row>
    <row r="7" spans="1:19" x14ac:dyDescent="0.25">
      <c r="A7" s="24" t="s">
        <v>512</v>
      </c>
      <c r="B7" s="25" t="s">
        <v>404</v>
      </c>
      <c r="C7" s="108">
        <f>12835+1958+2403</f>
        <v>17196</v>
      </c>
      <c r="D7" s="109">
        <v>16.23</v>
      </c>
      <c r="E7" s="110">
        <v>0</v>
      </c>
      <c r="F7" s="110">
        <v>0</v>
      </c>
      <c r="G7" s="110">
        <v>0</v>
      </c>
      <c r="H7" s="110">
        <v>0</v>
      </c>
      <c r="I7" s="110">
        <v>0</v>
      </c>
      <c r="J7" s="110">
        <v>0</v>
      </c>
      <c r="K7" s="110">
        <v>0</v>
      </c>
      <c r="L7" s="110">
        <v>0</v>
      </c>
      <c r="M7" s="110">
        <v>0</v>
      </c>
      <c r="N7" s="110">
        <v>0</v>
      </c>
      <c r="O7" s="110">
        <v>0</v>
      </c>
      <c r="P7" s="110">
        <v>0</v>
      </c>
      <c r="Q7" s="110">
        <f t="shared" ref="Q7:Q9" si="0">SUM(E7:P7)</f>
        <v>0</v>
      </c>
    </row>
    <row r="8" spans="1:19" s="24" customFormat="1" x14ac:dyDescent="0.25">
      <c r="A8" s="31" t="s">
        <v>513</v>
      </c>
      <c r="B8" s="32" t="s">
        <v>404</v>
      </c>
      <c r="C8" s="102">
        <v>1240</v>
      </c>
      <c r="D8" s="111">
        <v>21.492967741935484</v>
      </c>
      <c r="E8" s="103">
        <v>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103">
        <v>0</v>
      </c>
      <c r="Q8" s="103">
        <f t="shared" si="0"/>
        <v>0</v>
      </c>
    </row>
    <row r="9" spans="1:19" x14ac:dyDescent="0.25">
      <c r="A9" s="24" t="s">
        <v>514</v>
      </c>
      <c r="B9" s="25" t="s">
        <v>404</v>
      </c>
      <c r="C9" s="108">
        <v>976</v>
      </c>
      <c r="D9" s="109">
        <v>24.041065573770489</v>
      </c>
      <c r="E9" s="110">
        <v>0</v>
      </c>
      <c r="F9" s="110">
        <v>0</v>
      </c>
      <c r="G9" s="110">
        <v>0</v>
      </c>
      <c r="H9" s="110">
        <v>0</v>
      </c>
      <c r="I9" s="110">
        <v>0</v>
      </c>
      <c r="J9" s="110">
        <v>0</v>
      </c>
      <c r="K9" s="110">
        <v>0</v>
      </c>
      <c r="L9" s="110">
        <v>0</v>
      </c>
      <c r="M9" s="110">
        <v>0</v>
      </c>
      <c r="N9" s="110">
        <v>0</v>
      </c>
      <c r="O9" s="110">
        <v>0</v>
      </c>
      <c r="P9" s="110">
        <v>0</v>
      </c>
      <c r="Q9" s="110">
        <f t="shared" si="0"/>
        <v>0</v>
      </c>
    </row>
    <row r="10" spans="1:19" s="24" customFormat="1" x14ac:dyDescent="0.25">
      <c r="A10" s="31" t="s">
        <v>515</v>
      </c>
      <c r="B10" s="32" t="s">
        <v>404</v>
      </c>
      <c r="C10" s="102">
        <v>1216</v>
      </c>
      <c r="D10" s="111">
        <v>24.345592105263155</v>
      </c>
      <c r="E10" s="103">
        <v>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103">
        <v>0</v>
      </c>
      <c r="Q10" s="103">
        <f>SUM(E10:P10)</f>
        <v>0</v>
      </c>
    </row>
    <row r="11" spans="1:19" x14ac:dyDescent="0.25">
      <c r="A11" s="31" t="s">
        <v>516</v>
      </c>
      <c r="B11" s="32" t="s">
        <v>404</v>
      </c>
      <c r="C11" s="102">
        <v>24000</v>
      </c>
      <c r="D11" s="102">
        <v>16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103">
        <v>0</v>
      </c>
      <c r="Q11" s="103">
        <f t="shared" ref="Q11:Q20" si="1">SUM(E11:P11)</f>
        <v>0</v>
      </c>
    </row>
    <row r="12" spans="1:19" s="24" customFormat="1" x14ac:dyDescent="0.25">
      <c r="A12" s="31" t="s">
        <v>517</v>
      </c>
      <c r="B12" s="32" t="s">
        <v>404</v>
      </c>
      <c r="C12" s="105">
        <v>2000</v>
      </c>
      <c r="D12" s="102">
        <v>21.995999999999999</v>
      </c>
      <c r="E12" s="103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103">
        <v>0</v>
      </c>
      <c r="Q12" s="103">
        <f t="shared" si="1"/>
        <v>0</v>
      </c>
    </row>
    <row r="13" spans="1:19" x14ac:dyDescent="0.25">
      <c r="A13" s="112" t="s">
        <v>518</v>
      </c>
      <c r="B13" s="113" t="s">
        <v>404</v>
      </c>
      <c r="C13" s="114">
        <v>1980</v>
      </c>
      <c r="D13" s="114">
        <v>20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>
        <v>0</v>
      </c>
      <c r="K13" s="115">
        <v>0</v>
      </c>
      <c r="L13" s="115">
        <v>0</v>
      </c>
      <c r="M13" s="115">
        <v>0</v>
      </c>
      <c r="N13" s="115">
        <v>0</v>
      </c>
      <c r="O13" s="115">
        <v>0</v>
      </c>
      <c r="P13" s="115">
        <v>0</v>
      </c>
      <c r="Q13" s="115">
        <f t="shared" si="1"/>
        <v>0</v>
      </c>
    </row>
    <row r="14" spans="1:19" x14ac:dyDescent="0.25">
      <c r="A14" s="31" t="s">
        <v>519</v>
      </c>
      <c r="B14" s="32" t="s">
        <v>404</v>
      </c>
      <c r="C14" s="102">
        <v>2000</v>
      </c>
      <c r="D14" s="102">
        <v>13.999979999999999</v>
      </c>
      <c r="E14" s="103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103">
        <v>0</v>
      </c>
      <c r="Q14" s="103">
        <f t="shared" si="1"/>
        <v>0</v>
      </c>
    </row>
    <row r="15" spans="1:19" x14ac:dyDescent="0.25">
      <c r="A15" s="31" t="s">
        <v>520</v>
      </c>
      <c r="B15" s="32" t="s">
        <v>404</v>
      </c>
      <c r="C15" s="102">
        <v>1980</v>
      </c>
      <c r="D15" s="102">
        <v>16.163636363636364</v>
      </c>
      <c r="E15" s="103">
        <v>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103">
        <v>0</v>
      </c>
      <c r="Q15" s="103">
        <f t="shared" si="1"/>
        <v>0</v>
      </c>
      <c r="S15" s="125" t="s">
        <v>432</v>
      </c>
    </row>
    <row r="16" spans="1:19" s="117" customFormat="1" x14ac:dyDescent="0.25">
      <c r="A16" s="31" t="s">
        <v>521</v>
      </c>
      <c r="B16" s="32" t="s">
        <v>404</v>
      </c>
      <c r="C16" s="102">
        <v>2000</v>
      </c>
      <c r="D16" s="102">
        <v>0</v>
      </c>
      <c r="E16" s="103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103">
        <v>0</v>
      </c>
      <c r="Q16" s="103">
        <f t="shared" si="1"/>
        <v>0</v>
      </c>
    </row>
    <row r="17" spans="1:17" x14ac:dyDescent="0.25">
      <c r="A17" s="31" t="s">
        <v>522</v>
      </c>
      <c r="B17" s="32" t="s">
        <v>404</v>
      </c>
      <c r="C17" s="102">
        <v>7800</v>
      </c>
      <c r="D17" s="102">
        <v>9.5276923076923072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103">
        <v>0</v>
      </c>
      <c r="Q17" s="103">
        <f t="shared" si="1"/>
        <v>0</v>
      </c>
    </row>
    <row r="18" spans="1:17" x14ac:dyDescent="0.25">
      <c r="A18" s="31" t="s">
        <v>523</v>
      </c>
      <c r="B18" s="32" t="s">
        <v>404</v>
      </c>
      <c r="C18" s="102">
        <v>3000</v>
      </c>
      <c r="D18" s="102">
        <v>27.867999999999999</v>
      </c>
      <c r="E18" s="103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103">
        <v>0</v>
      </c>
      <c r="Q18" s="103">
        <f t="shared" si="1"/>
        <v>0</v>
      </c>
    </row>
    <row r="19" spans="1:17" x14ac:dyDescent="0.25">
      <c r="A19" s="31" t="s">
        <v>524</v>
      </c>
      <c r="B19" s="32" t="s">
        <v>404</v>
      </c>
      <c r="C19" s="102">
        <v>8700</v>
      </c>
      <c r="D19" s="102">
        <v>22</v>
      </c>
      <c r="E19" s="103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103">
        <v>0</v>
      </c>
      <c r="Q19" s="103">
        <f t="shared" si="1"/>
        <v>0</v>
      </c>
    </row>
    <row r="20" spans="1:17" x14ac:dyDescent="0.25">
      <c r="A20" s="125" t="s">
        <v>525</v>
      </c>
      <c r="B20" s="32" t="s">
        <v>404</v>
      </c>
      <c r="C20" s="102">
        <v>3000</v>
      </c>
      <c r="D20" s="102">
        <v>13.383200000000002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103">
        <v>0</v>
      </c>
      <c r="Q20" s="103">
        <f t="shared" si="1"/>
        <v>0</v>
      </c>
    </row>
    <row r="21" spans="1:17" x14ac:dyDescent="0.25">
      <c r="A21" s="125" t="s">
        <v>526</v>
      </c>
      <c r="D21" s="102"/>
    </row>
    <row r="22" spans="1:17" x14ac:dyDescent="0.25">
      <c r="A22" s="125" t="s">
        <v>527</v>
      </c>
      <c r="D22" s="102"/>
    </row>
    <row r="23" spans="1:17" x14ac:dyDescent="0.25">
      <c r="A23" s="125" t="s">
        <v>528</v>
      </c>
      <c r="D23" s="102"/>
    </row>
    <row r="24" spans="1:17" x14ac:dyDescent="0.25">
      <c r="A24" s="125" t="s">
        <v>529</v>
      </c>
      <c r="D24" s="102"/>
    </row>
    <row r="25" spans="1:17" x14ac:dyDescent="0.25">
      <c r="A25" s="125" t="s">
        <v>530</v>
      </c>
      <c r="D25" s="102"/>
    </row>
    <row r="26" spans="1:17" x14ac:dyDescent="0.25">
      <c r="A26" s="125" t="s">
        <v>532</v>
      </c>
      <c r="D26" s="102"/>
    </row>
    <row r="27" spans="1:17" x14ac:dyDescent="0.25">
      <c r="A27" s="125" t="s">
        <v>533</v>
      </c>
      <c r="D27" s="102"/>
    </row>
    <row r="28" spans="1:17" x14ac:dyDescent="0.25">
      <c r="A28" s="125"/>
      <c r="D28" s="102"/>
    </row>
    <row r="29" spans="1:17" x14ac:dyDescent="0.25">
      <c r="A29" s="125"/>
      <c r="D29" s="102"/>
    </row>
    <row r="30" spans="1:17" x14ac:dyDescent="0.25">
      <c r="C30" s="105">
        <f>SUM(C7:C15)</f>
        <v>52588</v>
      </c>
      <c r="D30" s="102"/>
    </row>
    <row r="31" spans="1:17" x14ac:dyDescent="0.25">
      <c r="A31" s="117" t="s">
        <v>206</v>
      </c>
      <c r="B31" s="118"/>
      <c r="C31" s="119"/>
      <c r="D31" s="119"/>
      <c r="E31" s="120">
        <f t="shared" ref="E31:P31" si="2">SUM(E6:E30)</f>
        <v>0</v>
      </c>
      <c r="F31" s="120">
        <f t="shared" si="2"/>
        <v>0</v>
      </c>
      <c r="G31" s="120">
        <f t="shared" si="2"/>
        <v>0</v>
      </c>
      <c r="H31" s="120">
        <f t="shared" si="2"/>
        <v>0</v>
      </c>
      <c r="I31" s="120">
        <f t="shared" si="2"/>
        <v>0</v>
      </c>
      <c r="J31" s="120">
        <f t="shared" si="2"/>
        <v>0</v>
      </c>
      <c r="K31" s="120">
        <f t="shared" si="2"/>
        <v>0</v>
      </c>
      <c r="L31" s="120">
        <f t="shared" si="2"/>
        <v>0</v>
      </c>
      <c r="M31" s="120">
        <f t="shared" si="2"/>
        <v>0</v>
      </c>
      <c r="N31" s="120">
        <f t="shared" si="2"/>
        <v>0</v>
      </c>
      <c r="O31" s="120">
        <f t="shared" si="2"/>
        <v>0</v>
      </c>
      <c r="P31" s="120">
        <f t="shared" si="2"/>
        <v>0</v>
      </c>
      <c r="Q31" s="120">
        <f>SUM(E31:P31)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zoomScaleNormal="100" workbookViewId="0">
      <selection activeCell="D4" sqref="D4"/>
    </sheetView>
  </sheetViews>
  <sheetFormatPr defaultRowHeight="15" x14ac:dyDescent="0.25"/>
  <cols>
    <col min="1" max="1" width="33" customWidth="1"/>
    <col min="2" max="2" width="52.85546875" customWidth="1"/>
    <col min="3" max="3" width="16.28515625" customWidth="1"/>
    <col min="4" max="4" width="12.140625" customWidth="1"/>
    <col min="5" max="5" width="15.5703125" customWidth="1"/>
    <col min="6" max="6" width="15.85546875" customWidth="1"/>
    <col min="7" max="7" width="32" customWidth="1"/>
    <col min="8" max="8" width="18.28515625" customWidth="1"/>
  </cols>
  <sheetData>
    <row r="1" spans="1:8" s="147" customFormat="1" x14ac:dyDescent="0.25">
      <c r="A1" s="146" t="s">
        <v>472</v>
      </c>
      <c r="B1" s="146" t="s">
        <v>473</v>
      </c>
      <c r="C1" s="146" t="s">
        <v>474</v>
      </c>
      <c r="D1" s="146" t="s">
        <v>475</v>
      </c>
      <c r="E1" s="146" t="s">
        <v>476</v>
      </c>
      <c r="F1" s="146" t="s">
        <v>477</v>
      </c>
      <c r="G1" s="146" t="s">
        <v>478</v>
      </c>
      <c r="H1" s="146" t="s">
        <v>479</v>
      </c>
    </row>
    <row r="2" spans="1:8" x14ac:dyDescent="0.25">
      <c r="A2" s="148"/>
      <c r="B2" s="149"/>
      <c r="C2" s="149"/>
      <c r="D2" s="149"/>
      <c r="E2" s="150"/>
      <c r="F2" s="150"/>
      <c r="G2" s="151"/>
      <c r="H2" s="152"/>
    </row>
    <row r="3" spans="1:8" ht="26.25" x14ac:dyDescent="0.25">
      <c r="A3" s="145" t="s">
        <v>480</v>
      </c>
      <c r="B3" s="153" t="s">
        <v>481</v>
      </c>
      <c r="C3" s="154" t="s">
        <v>482</v>
      </c>
      <c r="D3" s="154">
        <v>2018</v>
      </c>
      <c r="E3" s="155">
        <v>48000</v>
      </c>
      <c r="F3" s="156" t="s">
        <v>483</v>
      </c>
      <c r="G3" s="157" t="s">
        <v>484</v>
      </c>
      <c r="H3" s="158">
        <v>43191</v>
      </c>
    </row>
    <row r="4" spans="1:8" x14ac:dyDescent="0.25">
      <c r="A4" s="145" t="s">
        <v>471</v>
      </c>
      <c r="B4" s="153" t="s">
        <v>485</v>
      </c>
      <c r="C4" s="154" t="s">
        <v>482</v>
      </c>
      <c r="D4" s="154">
        <v>2017</v>
      </c>
      <c r="E4" s="155">
        <v>75000</v>
      </c>
      <c r="F4" s="156" t="s">
        <v>483</v>
      </c>
      <c r="G4" s="157" t="s">
        <v>486</v>
      </c>
      <c r="H4" s="158">
        <v>42507</v>
      </c>
    </row>
    <row r="5" spans="1:8" x14ac:dyDescent="0.25">
      <c r="A5" s="145" t="s">
        <v>487</v>
      </c>
      <c r="B5" s="153" t="s">
        <v>488</v>
      </c>
      <c r="C5" s="154" t="s">
        <v>489</v>
      </c>
      <c r="D5" s="154">
        <v>2018</v>
      </c>
      <c r="E5" s="155">
        <v>50000</v>
      </c>
      <c r="F5" s="156" t="s">
        <v>483</v>
      </c>
      <c r="G5" s="157" t="s">
        <v>490</v>
      </c>
      <c r="H5" s="158">
        <v>42508</v>
      </c>
    </row>
    <row r="6" spans="1:8" x14ac:dyDescent="0.25">
      <c r="A6" s="145"/>
      <c r="B6" s="153"/>
      <c r="C6" s="154"/>
      <c r="D6" s="154"/>
      <c r="E6" s="155"/>
      <c r="F6" s="156"/>
      <c r="G6" s="157"/>
      <c r="H6" s="158"/>
    </row>
    <row r="7" spans="1:8" x14ac:dyDescent="0.25">
      <c r="A7" s="145"/>
      <c r="B7" s="153"/>
      <c r="C7" s="154"/>
      <c r="D7" s="154"/>
      <c r="E7" s="155"/>
      <c r="F7" s="156"/>
      <c r="G7" s="157"/>
      <c r="H7" s="158"/>
    </row>
    <row r="8" spans="1:8" x14ac:dyDescent="0.25">
      <c r="A8" s="145"/>
      <c r="B8" s="153"/>
      <c r="C8" s="154"/>
      <c r="D8" s="154"/>
      <c r="E8" s="155"/>
      <c r="F8" s="156"/>
      <c r="G8" s="157"/>
      <c r="H8" s="158"/>
    </row>
    <row r="9" spans="1:8" ht="54" customHeight="1" x14ac:dyDescent="0.25">
      <c r="A9" s="145"/>
      <c r="B9" s="153"/>
      <c r="C9" s="154"/>
      <c r="D9" s="154"/>
      <c r="E9" s="155"/>
      <c r="F9" s="156"/>
      <c r="G9" s="157"/>
      <c r="H9" s="158"/>
    </row>
    <row r="10" spans="1:8" x14ac:dyDescent="0.25">
      <c r="A10" s="145"/>
      <c r="B10" s="153"/>
      <c r="C10" s="154"/>
      <c r="D10" s="154"/>
      <c r="E10" s="155"/>
      <c r="F10" s="156"/>
      <c r="G10" s="157"/>
      <c r="H10" s="158"/>
    </row>
    <row r="11" spans="1:8" x14ac:dyDescent="0.25">
      <c r="A11" s="145"/>
      <c r="B11" s="153"/>
      <c r="C11" s="154"/>
      <c r="D11" s="154"/>
      <c r="E11" s="155"/>
      <c r="F11" s="156"/>
      <c r="G11" s="157"/>
      <c r="H11" s="158"/>
    </row>
    <row r="12" spans="1:8" x14ac:dyDescent="0.25">
      <c r="A12" s="145"/>
      <c r="B12" s="153"/>
      <c r="C12" s="154"/>
      <c r="D12" s="154"/>
      <c r="E12" s="155"/>
      <c r="F12" s="156"/>
      <c r="G12" s="157"/>
      <c r="H12" s="158"/>
    </row>
    <row r="13" spans="1:8" x14ac:dyDescent="0.25">
      <c r="A13" s="145"/>
      <c r="B13" s="153"/>
      <c r="C13" s="154"/>
      <c r="D13" s="154"/>
      <c r="E13" s="155"/>
      <c r="F13" s="156"/>
      <c r="G13" s="157"/>
      <c r="H13" s="158"/>
    </row>
    <row r="14" spans="1:8" x14ac:dyDescent="0.25">
      <c r="A14" s="145"/>
      <c r="B14" s="153"/>
      <c r="C14" s="154"/>
      <c r="D14" s="154"/>
      <c r="E14" s="155"/>
      <c r="F14" s="156"/>
      <c r="G14" s="157"/>
      <c r="H14" s="158"/>
    </row>
    <row r="15" spans="1:8" x14ac:dyDescent="0.25">
      <c r="A15" s="145"/>
      <c r="B15" s="153"/>
      <c r="C15" s="154"/>
      <c r="D15" s="154"/>
      <c r="E15" s="155"/>
      <c r="F15" s="156"/>
      <c r="G15" s="157"/>
      <c r="H15" s="158"/>
    </row>
    <row r="16" spans="1:8" x14ac:dyDescent="0.25">
      <c r="A16" s="145"/>
      <c r="B16" s="153"/>
      <c r="C16" s="154"/>
      <c r="D16" s="154"/>
      <c r="E16" s="155"/>
      <c r="F16" s="156"/>
      <c r="G16" s="157"/>
      <c r="H16" s="158"/>
    </row>
    <row r="17" spans="1:8" x14ac:dyDescent="0.25">
      <c r="A17" s="145"/>
      <c r="B17" s="153"/>
      <c r="C17" s="154"/>
      <c r="D17" s="154"/>
      <c r="E17" s="155"/>
      <c r="F17" s="156"/>
      <c r="G17" s="157"/>
      <c r="H17" s="158"/>
    </row>
    <row r="18" spans="1:8" x14ac:dyDescent="0.25">
      <c r="A18" s="145"/>
      <c r="B18" s="153"/>
      <c r="C18" s="154"/>
      <c r="D18" s="154"/>
      <c r="E18" s="155"/>
      <c r="F18" s="156"/>
      <c r="G18" s="157"/>
      <c r="H18" s="158"/>
    </row>
    <row r="19" spans="1:8" x14ac:dyDescent="0.25">
      <c r="A19" s="145"/>
      <c r="B19" s="153"/>
      <c r="C19" s="154"/>
      <c r="D19" s="154"/>
      <c r="E19" s="155"/>
      <c r="F19" s="156"/>
      <c r="G19" s="157"/>
      <c r="H19" s="158"/>
    </row>
    <row r="20" spans="1:8" x14ac:dyDescent="0.25">
      <c r="A20" s="159"/>
      <c r="B20" s="159"/>
      <c r="C20" s="159"/>
      <c r="D20" s="159"/>
      <c r="E20" s="159"/>
      <c r="F20" s="159"/>
      <c r="G20" s="159"/>
      <c r="H20" s="159"/>
    </row>
  </sheetData>
  <pageMargins left="0.7" right="0.7" top="1" bottom="0.75" header="0.3" footer="0.3"/>
  <pageSetup paperSize="5" scale="82" orientation="landscape" r:id="rId1"/>
  <headerFooter>
    <oddHeader>&amp;CWINDSOR CROSSING LONG TERM CAPITAL IMPROVEMENT AND MAINTENANCE PLAN (2016-2019)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Normal="100" workbookViewId="0">
      <selection activeCell="G4" sqref="G4"/>
    </sheetView>
  </sheetViews>
  <sheetFormatPr defaultRowHeight="15" x14ac:dyDescent="0.25"/>
  <cols>
    <col min="1" max="1" width="9.7109375" bestFit="1" customWidth="1"/>
    <col min="2" max="2" width="35.85546875" bestFit="1" customWidth="1"/>
    <col min="3" max="3" width="14.42578125" bestFit="1" customWidth="1"/>
    <col min="4" max="4" width="12.5703125" bestFit="1" customWidth="1"/>
    <col min="5" max="5" width="11.5703125" bestFit="1" customWidth="1"/>
    <col min="6" max="6" width="12" bestFit="1" customWidth="1"/>
  </cols>
  <sheetData>
    <row r="1" spans="1:10" ht="15.75" customHeight="1" x14ac:dyDescent="0.25">
      <c r="A1" s="224" t="s">
        <v>391</v>
      </c>
      <c r="B1" s="224"/>
      <c r="C1" s="224"/>
      <c r="D1" s="224"/>
      <c r="E1" s="224"/>
      <c r="F1" s="224"/>
    </row>
    <row r="2" spans="1:10" ht="15.75" customHeight="1" x14ac:dyDescent="0.25">
      <c r="A2" s="224"/>
      <c r="B2" s="224"/>
      <c r="C2" s="224"/>
      <c r="D2" s="224"/>
      <c r="E2" s="224"/>
      <c r="F2" s="224"/>
    </row>
    <row r="3" spans="1:10" x14ac:dyDescent="0.25">
      <c r="A3" t="s">
        <v>502</v>
      </c>
      <c r="B3" t="s">
        <v>499</v>
      </c>
      <c r="C3" t="s">
        <v>500</v>
      </c>
      <c r="D3" t="s">
        <v>501</v>
      </c>
      <c r="E3" t="s">
        <v>498</v>
      </c>
      <c r="F3" t="s">
        <v>497</v>
      </c>
    </row>
    <row r="4" spans="1:10" x14ac:dyDescent="0.25">
      <c r="A4" s="166" t="s">
        <v>534</v>
      </c>
      <c r="B4" s="165" t="s">
        <v>535</v>
      </c>
      <c r="C4" s="201">
        <v>200000</v>
      </c>
      <c r="D4" s="199">
        <v>9.4649999999999998E-2</v>
      </c>
      <c r="E4" s="140">
        <f>$E$15*D4</f>
        <v>-34074</v>
      </c>
      <c r="F4" s="140">
        <f>D4*$F$15</f>
        <v>-2839.5</v>
      </c>
      <c r="I4" s="166"/>
      <c r="J4" s="5"/>
    </row>
    <row r="5" spans="1:10" x14ac:dyDescent="0.25">
      <c r="A5" s="166" t="s">
        <v>536</v>
      </c>
      <c r="B5" s="163" t="s">
        <v>537</v>
      </c>
      <c r="C5" s="201">
        <v>100000</v>
      </c>
      <c r="D5" s="200">
        <v>4.7300000000000002E-2</v>
      </c>
      <c r="E5" s="140">
        <f t="shared" ref="E5:E14" si="0">$E$15*D5</f>
        <v>-17028</v>
      </c>
      <c r="F5" s="140">
        <f t="shared" ref="F5:F14" si="1">D5*$F$15</f>
        <v>-1419</v>
      </c>
      <c r="I5" s="166"/>
      <c r="J5" s="5"/>
    </row>
    <row r="6" spans="1:10" x14ac:dyDescent="0.25">
      <c r="A6" s="166" t="s">
        <v>538</v>
      </c>
      <c r="B6" s="165" t="s">
        <v>539</v>
      </c>
      <c r="C6" s="201">
        <v>300000</v>
      </c>
      <c r="D6" s="199">
        <v>0.14219999999999999</v>
      </c>
      <c r="E6" s="140">
        <f t="shared" si="0"/>
        <v>-51192</v>
      </c>
      <c r="F6" s="140">
        <f t="shared" si="1"/>
        <v>-4266</v>
      </c>
      <c r="I6" s="166"/>
      <c r="J6" s="5"/>
    </row>
    <row r="7" spans="1:10" x14ac:dyDescent="0.25">
      <c r="A7" s="166" t="s">
        <v>157</v>
      </c>
      <c r="B7" s="163" t="s">
        <v>540</v>
      </c>
      <c r="C7" s="201">
        <v>100000</v>
      </c>
      <c r="D7" s="200">
        <v>0.1</v>
      </c>
      <c r="E7" s="140">
        <f t="shared" si="0"/>
        <v>-36000</v>
      </c>
      <c r="F7" s="140">
        <f t="shared" si="1"/>
        <v>-3000</v>
      </c>
      <c r="I7" s="166"/>
      <c r="J7" s="5"/>
    </row>
    <row r="8" spans="1:10" x14ac:dyDescent="0.25">
      <c r="A8" s="166" t="s">
        <v>541</v>
      </c>
      <c r="B8" s="165" t="s">
        <v>542</v>
      </c>
      <c r="C8" s="201">
        <v>300000</v>
      </c>
      <c r="D8" s="199">
        <v>0.14219999999999999</v>
      </c>
      <c r="E8" s="140">
        <f t="shared" si="0"/>
        <v>-51192</v>
      </c>
      <c r="F8" s="140">
        <f t="shared" si="1"/>
        <v>-4266</v>
      </c>
      <c r="I8" s="166"/>
      <c r="J8" s="5"/>
    </row>
    <row r="9" spans="1:10" x14ac:dyDescent="0.25">
      <c r="A9" s="166" t="s">
        <v>435</v>
      </c>
      <c r="B9" s="163" t="s">
        <v>543</v>
      </c>
      <c r="C9" s="201">
        <v>100000</v>
      </c>
      <c r="D9" s="200">
        <v>4.7300000000000002E-2</v>
      </c>
      <c r="E9" s="140">
        <f t="shared" si="0"/>
        <v>-17028</v>
      </c>
      <c r="F9" s="140">
        <f t="shared" si="1"/>
        <v>-1419</v>
      </c>
      <c r="I9" s="166"/>
      <c r="J9" s="5"/>
    </row>
    <row r="10" spans="1:10" x14ac:dyDescent="0.25">
      <c r="A10" s="166" t="s">
        <v>544</v>
      </c>
      <c r="B10" s="165" t="s">
        <v>545</v>
      </c>
      <c r="C10" s="201">
        <v>100000</v>
      </c>
      <c r="D10" s="199">
        <v>4.7300000000000002E-2</v>
      </c>
      <c r="E10" s="140">
        <f t="shared" si="0"/>
        <v>-17028</v>
      </c>
      <c r="F10" s="140">
        <f t="shared" si="1"/>
        <v>-1419</v>
      </c>
      <c r="I10" s="166"/>
      <c r="J10" s="5"/>
    </row>
    <row r="11" spans="1:10" x14ac:dyDescent="0.25">
      <c r="A11" s="166" t="s">
        <v>546</v>
      </c>
      <c r="B11" s="163" t="s">
        <v>547</v>
      </c>
      <c r="C11" s="201">
        <v>200000</v>
      </c>
      <c r="D11" s="200">
        <v>9.4649999999999998E-2</v>
      </c>
      <c r="E11" s="140">
        <f t="shared" si="0"/>
        <v>-34074</v>
      </c>
      <c r="F11" s="140">
        <f t="shared" si="1"/>
        <v>-2839.5</v>
      </c>
      <c r="I11" s="166"/>
      <c r="J11" s="5"/>
    </row>
    <row r="12" spans="1:10" x14ac:dyDescent="0.25">
      <c r="A12" s="166" t="s">
        <v>548</v>
      </c>
      <c r="B12" s="163" t="s">
        <v>549</v>
      </c>
      <c r="C12" s="201"/>
      <c r="D12" s="200">
        <v>7.1099999999999997E-2</v>
      </c>
      <c r="E12" s="140">
        <f t="shared" si="0"/>
        <v>-25596</v>
      </c>
      <c r="F12" s="140">
        <f t="shared" si="1"/>
        <v>-2133</v>
      </c>
      <c r="I12" s="166"/>
      <c r="J12" s="5"/>
    </row>
    <row r="13" spans="1:10" x14ac:dyDescent="0.25">
      <c r="A13" s="166" t="s">
        <v>550</v>
      </c>
      <c r="B13" s="165" t="s">
        <v>551</v>
      </c>
      <c r="C13" s="201"/>
      <c r="D13" s="200">
        <v>7.1099999999999997E-2</v>
      </c>
      <c r="E13" s="140">
        <f t="shared" si="0"/>
        <v>-25596</v>
      </c>
      <c r="F13" s="140">
        <f t="shared" si="1"/>
        <v>-2133</v>
      </c>
      <c r="I13" s="166"/>
      <c r="J13" s="5"/>
    </row>
    <row r="14" spans="1:10" x14ac:dyDescent="0.25">
      <c r="A14" s="166" t="s">
        <v>552</v>
      </c>
      <c r="B14" s="163" t="s">
        <v>553</v>
      </c>
      <c r="C14" s="201">
        <v>300000</v>
      </c>
      <c r="D14" s="200">
        <v>0.14219999999999999</v>
      </c>
      <c r="E14" s="140">
        <f t="shared" si="0"/>
        <v>-51192</v>
      </c>
      <c r="F14" s="140">
        <f t="shared" si="1"/>
        <v>-4266</v>
      </c>
      <c r="I14" s="166"/>
      <c r="J14" s="5"/>
    </row>
    <row r="15" spans="1:10" x14ac:dyDescent="0.25">
      <c r="B15" s="162" t="s">
        <v>496</v>
      </c>
      <c r="C15" s="202">
        <f>SUM(C4:C14)</f>
        <v>1700000</v>
      </c>
      <c r="D15" s="161">
        <f>SUM(D4:D14)</f>
        <v>0.99999999999999989</v>
      </c>
      <c r="E15" s="160">
        <f>F15*12</f>
        <v>-360000</v>
      </c>
      <c r="F15" s="160">
        <v>-30000</v>
      </c>
      <c r="G15" t="s">
        <v>554</v>
      </c>
    </row>
    <row r="18" spans="2:3" x14ac:dyDescent="0.25">
      <c r="B18" t="s">
        <v>495</v>
      </c>
      <c r="C18" s="140"/>
    </row>
  </sheetData>
  <mergeCells count="1">
    <mergeCell ref="A1:F2"/>
  </mergeCells>
  <pageMargins left="0.7" right="0.7" top="0.75" bottom="0.75" header="0.3" footer="0.3"/>
  <pageSetup scale="94" orientation="portrait" r:id="rId1"/>
  <colBreaks count="1" manualBreakCount="1">
    <brk id="6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4</vt:i4>
      </vt:variant>
    </vt:vector>
  </HeadingPairs>
  <TitlesOfParts>
    <vt:vector size="16" baseType="lpstr">
      <vt:lpstr>cf</vt:lpstr>
      <vt:lpstr>Op Budget 2016</vt:lpstr>
      <vt:lpstr>2017 Projected</vt:lpstr>
      <vt:lpstr>Min Rent 2017</vt:lpstr>
      <vt:lpstr>CAM est 2017</vt:lpstr>
      <vt:lpstr>RETaxes 2017</vt:lpstr>
      <vt:lpstr>Ins 2016</vt:lpstr>
      <vt:lpstr>CapEx 2016</vt:lpstr>
      <vt:lpstr>Distributions</vt:lpstr>
      <vt:lpstr>Loan</vt:lpstr>
      <vt:lpstr>Assumptions</vt:lpstr>
      <vt:lpstr>Broker's Comm</vt:lpstr>
      <vt:lpstr>'2017 Projected'!Print_Area</vt:lpstr>
      <vt:lpstr>Distributions!Print_Area</vt:lpstr>
      <vt:lpstr>'2017 Projected'!Print_Titles</vt:lpstr>
      <vt:lpstr>cf!Print_Titles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Wong</dc:creator>
  <cp:lastModifiedBy>Simon Wong</cp:lastModifiedBy>
  <cp:lastPrinted>2016-10-25T17:48:43Z</cp:lastPrinted>
  <dcterms:created xsi:type="dcterms:W3CDTF">2016-04-01T21:07:40Z</dcterms:created>
  <dcterms:modified xsi:type="dcterms:W3CDTF">2016-10-25T19:49:41Z</dcterms:modified>
</cp:coreProperties>
</file>