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4370" windowHeight="12360" tabRatio="659" firstSheet="2" activeTab="2"/>
  </bookViews>
  <sheets>
    <sheet name="cf" sheetId="4" state="hidden" r:id="rId1"/>
    <sheet name="Op Budget 2016" sheetId="6" state="hidden" r:id="rId2"/>
    <sheet name="2017 Projected" sheetId="5" r:id="rId3"/>
    <sheet name="Min Rent 2017" sheetId="9" r:id="rId4"/>
    <sheet name="CAM est 2017" sheetId="10" r:id="rId5"/>
    <sheet name="RETaxes 2017" sheetId="11" r:id="rId6"/>
    <sheet name="Ins 2016" sheetId="12" r:id="rId7"/>
    <sheet name="CapEx 2016" sheetId="14" r:id="rId8"/>
    <sheet name="Distributions" sheetId="15" r:id="rId9"/>
    <sheet name="Assumptions" sheetId="17" r:id="rId10"/>
    <sheet name="Broker's Comm" sheetId="8" r:id="rId11"/>
  </sheets>
  <externalReferences>
    <externalReference r:id="rId12"/>
  </externalReferences>
  <definedNames>
    <definedName name="_xlnm.Print_Area" localSheetId="2">'2017 Projected'!$A$1:$S$210</definedName>
    <definedName name="_xlnm.Print_Area" localSheetId="8">Distributions!$A$1:$F$11</definedName>
    <definedName name="_xlnm.Print_Titles" localSheetId="2">'2017 Projected'!$1:$5</definedName>
    <definedName name="_xlnm.Print_Titles" localSheetId="0">cf!$1:$5</definedName>
  </definedNames>
  <calcPr calcId="152511"/>
</workbook>
</file>

<file path=xl/calcChain.xml><?xml version="1.0" encoding="utf-8"?>
<calcChain xmlns="http://schemas.openxmlformats.org/spreadsheetml/2006/main">
  <c r="E134" i="5" l="1"/>
  <c r="F134" i="5"/>
  <c r="G134" i="5"/>
  <c r="H134" i="5"/>
  <c r="I134" i="5"/>
  <c r="J134" i="5"/>
  <c r="K134" i="5"/>
  <c r="L134" i="5"/>
  <c r="M134" i="5"/>
  <c r="N134" i="5"/>
  <c r="O134" i="5"/>
  <c r="D134" i="5"/>
  <c r="P42" i="17"/>
  <c r="P43" i="17"/>
  <c r="P44" i="17"/>
  <c r="P45" i="17"/>
  <c r="P46" i="17"/>
  <c r="P47" i="17"/>
  <c r="P48" i="17"/>
  <c r="P49" i="17"/>
  <c r="P50" i="17"/>
  <c r="P51" i="17"/>
  <c r="P52" i="17"/>
  <c r="P41" i="17"/>
  <c r="G39" i="17"/>
  <c r="J39" i="17" s="1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J3" i="17"/>
  <c r="I3" i="17"/>
  <c r="L39" i="17" l="1"/>
  <c r="I39" i="17"/>
  <c r="B17" i="17"/>
  <c r="B21" i="17" s="1"/>
  <c r="B12" i="17"/>
  <c r="L3" i="17"/>
  <c r="G3" i="17"/>
  <c r="K39" i="17" l="1"/>
  <c r="M39" i="17"/>
  <c r="G40" i="17" s="1"/>
  <c r="H37" i="17"/>
  <c r="H35" i="17"/>
  <c r="H33" i="17"/>
  <c r="H31" i="17"/>
  <c r="H29" i="17"/>
  <c r="H27" i="17"/>
  <c r="H25" i="17"/>
  <c r="H23" i="17"/>
  <c r="H21" i="17"/>
  <c r="H20" i="17"/>
  <c r="H19" i="17"/>
  <c r="H18" i="17"/>
  <c r="H17" i="17"/>
  <c r="H16" i="17"/>
  <c r="H12" i="17"/>
  <c r="H4" i="17"/>
  <c r="H6" i="17"/>
  <c r="H8" i="17"/>
  <c r="H10" i="17"/>
  <c r="H13" i="17"/>
  <c r="H15" i="17"/>
  <c r="H22" i="17"/>
  <c r="H26" i="17"/>
  <c r="H30" i="17"/>
  <c r="H34" i="17"/>
  <c r="H38" i="17"/>
  <c r="H3" i="17"/>
  <c r="H5" i="17"/>
  <c r="H7" i="17"/>
  <c r="H9" i="17"/>
  <c r="H11" i="17"/>
  <c r="H14" i="17"/>
  <c r="H24" i="17"/>
  <c r="H28" i="17"/>
  <c r="H32" i="17"/>
  <c r="H36" i="17"/>
  <c r="B18" i="17"/>
  <c r="B19" i="17"/>
  <c r="B20" i="17"/>
  <c r="J40" i="17" l="1"/>
  <c r="H63" i="17"/>
  <c r="L40" i="17" l="1"/>
  <c r="I40" i="17"/>
  <c r="K3" i="17"/>
  <c r="M3" i="17"/>
  <c r="G4" i="17" s="1"/>
  <c r="K40" i="17" l="1"/>
  <c r="M40" i="17"/>
  <c r="G41" i="17" s="1"/>
  <c r="J4" i="17"/>
  <c r="J41" i="17" l="1"/>
  <c r="L4" i="17"/>
  <c r="I4" i="17"/>
  <c r="L41" i="17" l="1"/>
  <c r="I41" i="17"/>
  <c r="K4" i="17"/>
  <c r="M4" i="17"/>
  <c r="G5" i="17" s="1"/>
  <c r="K41" i="17" l="1"/>
  <c r="M41" i="17"/>
  <c r="G42" i="17" s="1"/>
  <c r="J5" i="17"/>
  <c r="J42" i="17" l="1"/>
  <c r="L5" i="17"/>
  <c r="I5" i="17"/>
  <c r="L42" i="17" l="1"/>
  <c r="I42" i="17"/>
  <c r="K5" i="17"/>
  <c r="M5" i="17"/>
  <c r="G6" i="17" s="1"/>
  <c r="K42" i="17" l="1"/>
  <c r="M42" i="17"/>
  <c r="G43" i="17" s="1"/>
  <c r="J6" i="17"/>
  <c r="J43" i="17" l="1"/>
  <c r="L6" i="17"/>
  <c r="I6" i="17"/>
  <c r="L43" i="17" l="1"/>
  <c r="I43" i="17"/>
  <c r="K6" i="17"/>
  <c r="M6" i="17"/>
  <c r="G7" i="17" s="1"/>
  <c r="K43" i="17" l="1"/>
  <c r="M43" i="17"/>
  <c r="G44" i="17" s="1"/>
  <c r="J7" i="17"/>
  <c r="J44" i="17" l="1"/>
  <c r="L7" i="17"/>
  <c r="I7" i="17"/>
  <c r="L44" i="17" l="1"/>
  <c r="I44" i="17"/>
  <c r="K7" i="17"/>
  <c r="M7" i="17"/>
  <c r="G8" i="17" s="1"/>
  <c r="K44" i="17" l="1"/>
  <c r="M44" i="17"/>
  <c r="G45" i="17" s="1"/>
  <c r="J8" i="17"/>
  <c r="J45" i="17" l="1"/>
  <c r="L8" i="17"/>
  <c r="I8" i="17"/>
  <c r="L45" i="17" l="1"/>
  <c r="I45" i="17"/>
  <c r="K8" i="17"/>
  <c r="M8" i="17"/>
  <c r="G9" i="17" s="1"/>
  <c r="K45" i="17" l="1"/>
  <c r="M45" i="17"/>
  <c r="G46" i="17" s="1"/>
  <c r="J9" i="17"/>
  <c r="J46" i="17" l="1"/>
  <c r="L9" i="17"/>
  <c r="I9" i="17"/>
  <c r="L46" i="17" l="1"/>
  <c r="I46" i="17"/>
  <c r="K9" i="17"/>
  <c r="M9" i="17"/>
  <c r="G10" i="17" s="1"/>
  <c r="K46" i="17" l="1"/>
  <c r="M46" i="17"/>
  <c r="G47" i="17" s="1"/>
  <c r="J10" i="17"/>
  <c r="J47" i="17" l="1"/>
  <c r="L10" i="17"/>
  <c r="I10" i="17"/>
  <c r="L47" i="17" l="1"/>
  <c r="I47" i="17"/>
  <c r="K10" i="17"/>
  <c r="M10" i="17"/>
  <c r="G11" i="17" s="1"/>
  <c r="K47" i="17" l="1"/>
  <c r="M47" i="17"/>
  <c r="G48" i="17" s="1"/>
  <c r="J11" i="17"/>
  <c r="J48" i="17" l="1"/>
  <c r="L11" i="17"/>
  <c r="I11" i="17"/>
  <c r="L48" i="17" l="1"/>
  <c r="I48" i="17"/>
  <c r="K11" i="17"/>
  <c r="M11" i="17"/>
  <c r="G12" i="17" s="1"/>
  <c r="K48" i="17" l="1"/>
  <c r="M48" i="17"/>
  <c r="G49" i="17" s="1"/>
  <c r="J12" i="17"/>
  <c r="J49" i="17" l="1"/>
  <c r="L12" i="17"/>
  <c r="I12" i="17"/>
  <c r="L49" i="17" l="1"/>
  <c r="I49" i="17"/>
  <c r="K12" i="17"/>
  <c r="M12" i="17"/>
  <c r="G13" i="17" s="1"/>
  <c r="K49" i="17" l="1"/>
  <c r="M49" i="17"/>
  <c r="G50" i="17" s="1"/>
  <c r="J13" i="17"/>
  <c r="J50" i="17" l="1"/>
  <c r="L13" i="17"/>
  <c r="I13" i="17"/>
  <c r="L50" i="17" l="1"/>
  <c r="I50" i="17"/>
  <c r="K13" i="17"/>
  <c r="M13" i="17"/>
  <c r="G14" i="17" s="1"/>
  <c r="K50" i="17" l="1"/>
  <c r="M50" i="17"/>
  <c r="G51" i="17" s="1"/>
  <c r="J14" i="17"/>
  <c r="J51" i="17" l="1"/>
  <c r="L14" i="17"/>
  <c r="I14" i="17"/>
  <c r="L51" i="17" l="1"/>
  <c r="I51" i="17"/>
  <c r="K14" i="17"/>
  <c r="M14" i="17"/>
  <c r="G15" i="17" s="1"/>
  <c r="K51" i="17" l="1"/>
  <c r="M51" i="17"/>
  <c r="G52" i="17" s="1"/>
  <c r="J15" i="17"/>
  <c r="J52" i="17" l="1"/>
  <c r="L15" i="17"/>
  <c r="I15" i="17"/>
  <c r="L52" i="17" l="1"/>
  <c r="I52" i="17"/>
  <c r="K15" i="17"/>
  <c r="M15" i="17"/>
  <c r="G16" i="17" s="1"/>
  <c r="K52" i="17" l="1"/>
  <c r="M52" i="17"/>
  <c r="G53" i="17" s="1"/>
  <c r="J16" i="17"/>
  <c r="J53" i="17" l="1"/>
  <c r="L16" i="17"/>
  <c r="I16" i="17"/>
  <c r="L53" i="17" l="1"/>
  <c r="I53" i="17"/>
  <c r="K16" i="17"/>
  <c r="M16" i="17"/>
  <c r="G17" i="17" s="1"/>
  <c r="K53" i="17" l="1"/>
  <c r="M53" i="17"/>
  <c r="G54" i="17" s="1"/>
  <c r="J17" i="17"/>
  <c r="J54" i="17" l="1"/>
  <c r="L17" i="17"/>
  <c r="I17" i="17"/>
  <c r="L54" i="17" l="1"/>
  <c r="I54" i="17"/>
  <c r="K17" i="17"/>
  <c r="M17" i="17"/>
  <c r="G18" i="17" s="1"/>
  <c r="K54" i="17" l="1"/>
  <c r="M54" i="17"/>
  <c r="G55" i="17" s="1"/>
  <c r="J18" i="17"/>
  <c r="J55" i="17" l="1"/>
  <c r="L18" i="17"/>
  <c r="I18" i="17"/>
  <c r="L55" i="17" l="1"/>
  <c r="I55" i="17"/>
  <c r="K18" i="17"/>
  <c r="M18" i="17"/>
  <c r="G19" i="17" s="1"/>
  <c r="K55" i="17" l="1"/>
  <c r="M55" i="17"/>
  <c r="G56" i="17" s="1"/>
  <c r="J19" i="17"/>
  <c r="J56" i="17" l="1"/>
  <c r="L19" i="17"/>
  <c r="I19" i="17"/>
  <c r="L56" i="17" l="1"/>
  <c r="I56" i="17"/>
  <c r="K19" i="17"/>
  <c r="M19" i="17"/>
  <c r="G20" i="17" s="1"/>
  <c r="K56" i="17" l="1"/>
  <c r="M56" i="17"/>
  <c r="G57" i="17" s="1"/>
  <c r="J20" i="17"/>
  <c r="J57" i="17" l="1"/>
  <c r="L20" i="17"/>
  <c r="I20" i="17"/>
  <c r="L57" i="17" l="1"/>
  <c r="I57" i="17"/>
  <c r="K20" i="17"/>
  <c r="M20" i="17"/>
  <c r="G21" i="17" s="1"/>
  <c r="K57" i="17" l="1"/>
  <c r="M57" i="17"/>
  <c r="G58" i="17" s="1"/>
  <c r="J21" i="17"/>
  <c r="J58" i="17" l="1"/>
  <c r="L21" i="17"/>
  <c r="I21" i="17"/>
  <c r="L58" i="17" l="1"/>
  <c r="I58" i="17"/>
  <c r="K21" i="17"/>
  <c r="M21" i="17"/>
  <c r="G22" i="17" s="1"/>
  <c r="K58" i="17" l="1"/>
  <c r="M58" i="17"/>
  <c r="G59" i="17" s="1"/>
  <c r="J22" i="17"/>
  <c r="J59" i="17" l="1"/>
  <c r="L22" i="17"/>
  <c r="I22" i="17"/>
  <c r="L59" i="17" l="1"/>
  <c r="I59" i="17"/>
  <c r="K22" i="17"/>
  <c r="M22" i="17"/>
  <c r="G23" i="17" s="1"/>
  <c r="K59" i="17" l="1"/>
  <c r="M59" i="17"/>
  <c r="J23" i="17"/>
  <c r="L23" i="17" l="1"/>
  <c r="I23" i="17"/>
  <c r="K23" i="17" l="1"/>
  <c r="M23" i="17"/>
  <c r="G24" i="17" s="1"/>
  <c r="J24" i="17" l="1"/>
  <c r="L24" i="17" l="1"/>
  <c r="I24" i="17"/>
  <c r="K24" i="17" l="1"/>
  <c r="M24" i="17"/>
  <c r="G25" i="17" s="1"/>
  <c r="J25" i="17" l="1"/>
  <c r="L25" i="17" l="1"/>
  <c r="I25" i="17"/>
  <c r="K25" i="17" l="1"/>
  <c r="M25" i="17"/>
  <c r="G26" i="17" s="1"/>
  <c r="J26" i="17" l="1"/>
  <c r="L26" i="17" l="1"/>
  <c r="I26" i="17"/>
  <c r="K26" i="17" l="1"/>
  <c r="M26" i="17"/>
  <c r="G27" i="17" s="1"/>
  <c r="J27" i="17" l="1"/>
  <c r="L27" i="17" l="1"/>
  <c r="I27" i="17"/>
  <c r="K27" i="17" l="1"/>
  <c r="M27" i="17"/>
  <c r="G28" i="17" s="1"/>
  <c r="J28" i="17" l="1"/>
  <c r="L28" i="17" l="1"/>
  <c r="I28" i="17"/>
  <c r="K28" i="17" l="1"/>
  <c r="M28" i="17"/>
  <c r="G29" i="17" s="1"/>
  <c r="J29" i="17" l="1"/>
  <c r="L29" i="17" l="1"/>
  <c r="I29" i="17"/>
  <c r="K29" i="17" l="1"/>
  <c r="M29" i="17"/>
  <c r="G30" i="17" s="1"/>
  <c r="J30" i="17" l="1"/>
  <c r="L30" i="17" l="1"/>
  <c r="I30" i="17"/>
  <c r="K30" i="17" l="1"/>
  <c r="M30" i="17"/>
  <c r="G31" i="17" s="1"/>
  <c r="J31" i="17" l="1"/>
  <c r="L31" i="17" l="1"/>
  <c r="I31" i="17"/>
  <c r="K31" i="17" l="1"/>
  <c r="M31" i="17"/>
  <c r="G32" i="17" s="1"/>
  <c r="J32" i="17" l="1"/>
  <c r="L32" i="17" l="1"/>
  <c r="I32" i="17"/>
  <c r="K32" i="17" l="1"/>
  <c r="M32" i="17"/>
  <c r="G33" i="17" s="1"/>
  <c r="J33" i="17" l="1"/>
  <c r="L33" i="17" l="1"/>
  <c r="I33" i="17"/>
  <c r="K33" i="17" l="1"/>
  <c r="M33" i="17"/>
  <c r="G34" i="17" s="1"/>
  <c r="J34" i="17" l="1"/>
  <c r="L34" i="17" l="1"/>
  <c r="I34" i="17"/>
  <c r="K34" i="17" l="1"/>
  <c r="M34" i="17"/>
  <c r="G35" i="17" s="1"/>
  <c r="J35" i="17" l="1"/>
  <c r="L35" i="17" l="1"/>
  <c r="I35" i="17"/>
  <c r="K35" i="17" l="1"/>
  <c r="M35" i="17"/>
  <c r="G36" i="17" s="1"/>
  <c r="J36" i="17" l="1"/>
  <c r="L36" i="17" l="1"/>
  <c r="I36" i="17"/>
  <c r="K36" i="17" l="1"/>
  <c r="M36" i="17"/>
  <c r="G37" i="17" s="1"/>
  <c r="J37" i="17" l="1"/>
  <c r="L37" i="17" l="1"/>
  <c r="I37" i="17"/>
  <c r="K37" i="17" l="1"/>
  <c r="M37" i="17"/>
  <c r="G38" i="17" s="1"/>
  <c r="J38" i="17" l="1"/>
  <c r="L38" i="17" l="1"/>
  <c r="I38" i="17"/>
  <c r="K38" i="17" l="1"/>
  <c r="M38" i="17"/>
  <c r="D48" i="5" l="1"/>
  <c r="E48" i="5"/>
  <c r="F48" i="5"/>
  <c r="G48" i="5"/>
  <c r="H48" i="5"/>
  <c r="I48" i="5"/>
  <c r="J48" i="5"/>
  <c r="K48" i="5"/>
  <c r="L48" i="5"/>
  <c r="M48" i="5"/>
  <c r="N48" i="5"/>
  <c r="O48" i="5"/>
  <c r="D49" i="5"/>
  <c r="E49" i="5"/>
  <c r="F49" i="5"/>
  <c r="G49" i="5"/>
  <c r="H49" i="5"/>
  <c r="I49" i="5"/>
  <c r="J49" i="5"/>
  <c r="K49" i="5"/>
  <c r="L49" i="5"/>
  <c r="M49" i="5"/>
  <c r="N49" i="5"/>
  <c r="O49" i="5"/>
  <c r="D50" i="5"/>
  <c r="E50" i="5"/>
  <c r="F50" i="5"/>
  <c r="G50" i="5"/>
  <c r="H50" i="5"/>
  <c r="I50" i="5"/>
  <c r="J50" i="5"/>
  <c r="K50" i="5"/>
  <c r="L50" i="5"/>
  <c r="M50" i="5"/>
  <c r="N50" i="5"/>
  <c r="O50" i="5"/>
  <c r="D51" i="5"/>
  <c r="E51" i="5"/>
  <c r="F51" i="5"/>
  <c r="G51" i="5"/>
  <c r="H51" i="5"/>
  <c r="I51" i="5"/>
  <c r="J51" i="5"/>
  <c r="K51" i="5"/>
  <c r="L51" i="5"/>
  <c r="M51" i="5"/>
  <c r="N51" i="5"/>
  <c r="O51" i="5"/>
  <c r="D52" i="5"/>
  <c r="E52" i="5"/>
  <c r="F52" i="5"/>
  <c r="G52" i="5"/>
  <c r="H52" i="5"/>
  <c r="I52" i="5"/>
  <c r="J52" i="5"/>
  <c r="K52" i="5"/>
  <c r="L52" i="5"/>
  <c r="M52" i="5"/>
  <c r="N52" i="5"/>
  <c r="O52" i="5"/>
  <c r="D53" i="5"/>
  <c r="E53" i="5"/>
  <c r="F53" i="5"/>
  <c r="G53" i="5"/>
  <c r="H53" i="5"/>
  <c r="I53" i="5"/>
  <c r="J53" i="5"/>
  <c r="K53" i="5"/>
  <c r="L53" i="5"/>
  <c r="M53" i="5"/>
  <c r="N53" i="5"/>
  <c r="O53" i="5"/>
  <c r="D54" i="5"/>
  <c r="E54" i="5"/>
  <c r="F54" i="5"/>
  <c r="G54" i="5"/>
  <c r="H54" i="5"/>
  <c r="I54" i="5"/>
  <c r="J54" i="5"/>
  <c r="K54" i="5"/>
  <c r="L54" i="5"/>
  <c r="M54" i="5"/>
  <c r="N54" i="5"/>
  <c r="O54" i="5"/>
  <c r="D55" i="5"/>
  <c r="E55" i="5"/>
  <c r="F55" i="5"/>
  <c r="G55" i="5"/>
  <c r="H55" i="5"/>
  <c r="I55" i="5"/>
  <c r="J55" i="5"/>
  <c r="K55" i="5"/>
  <c r="L55" i="5"/>
  <c r="M55" i="5"/>
  <c r="N55" i="5"/>
  <c r="O55" i="5"/>
  <c r="O47" i="5"/>
  <c r="N47" i="5"/>
  <c r="M47" i="5"/>
  <c r="L47" i="5"/>
  <c r="K47" i="5"/>
  <c r="J47" i="5"/>
  <c r="I47" i="5"/>
  <c r="H47" i="5"/>
  <c r="G47" i="5"/>
  <c r="F47" i="5"/>
  <c r="E47" i="5"/>
  <c r="D47" i="5"/>
  <c r="D38" i="5"/>
  <c r="E38" i="5"/>
  <c r="F38" i="5"/>
  <c r="G38" i="5"/>
  <c r="H38" i="5"/>
  <c r="I38" i="5"/>
  <c r="J38" i="5"/>
  <c r="K38" i="5"/>
  <c r="L38" i="5"/>
  <c r="M38" i="5"/>
  <c r="N38" i="5"/>
  <c r="O38" i="5"/>
  <c r="D39" i="5"/>
  <c r="E39" i="5"/>
  <c r="F39" i="5"/>
  <c r="G39" i="5"/>
  <c r="H39" i="5"/>
  <c r="I39" i="5"/>
  <c r="J39" i="5"/>
  <c r="K39" i="5"/>
  <c r="L39" i="5"/>
  <c r="M39" i="5"/>
  <c r="N39" i="5"/>
  <c r="O39" i="5"/>
  <c r="D40" i="5"/>
  <c r="E40" i="5"/>
  <c r="F40" i="5"/>
  <c r="G40" i="5"/>
  <c r="H40" i="5"/>
  <c r="I40" i="5"/>
  <c r="J40" i="5"/>
  <c r="K40" i="5"/>
  <c r="L40" i="5"/>
  <c r="M40" i="5"/>
  <c r="N40" i="5"/>
  <c r="O40" i="5"/>
  <c r="D41" i="5"/>
  <c r="E41" i="5"/>
  <c r="F41" i="5"/>
  <c r="G41" i="5"/>
  <c r="H41" i="5"/>
  <c r="I41" i="5"/>
  <c r="J41" i="5"/>
  <c r="K41" i="5"/>
  <c r="L41" i="5"/>
  <c r="M41" i="5"/>
  <c r="N41" i="5"/>
  <c r="O41" i="5"/>
  <c r="D42" i="5"/>
  <c r="E42" i="5"/>
  <c r="F42" i="5"/>
  <c r="G42" i="5"/>
  <c r="H42" i="5"/>
  <c r="I42" i="5"/>
  <c r="J42" i="5"/>
  <c r="K42" i="5"/>
  <c r="L42" i="5"/>
  <c r="M42" i="5"/>
  <c r="N42" i="5"/>
  <c r="O42" i="5"/>
  <c r="D43" i="5"/>
  <c r="E43" i="5"/>
  <c r="F43" i="5"/>
  <c r="G43" i="5"/>
  <c r="H43" i="5"/>
  <c r="I43" i="5"/>
  <c r="J43" i="5"/>
  <c r="K43" i="5"/>
  <c r="L43" i="5"/>
  <c r="M43" i="5"/>
  <c r="N43" i="5"/>
  <c r="O43" i="5"/>
  <c r="D44" i="5"/>
  <c r="E44" i="5"/>
  <c r="F44" i="5"/>
  <c r="G44" i="5"/>
  <c r="H44" i="5"/>
  <c r="I44" i="5"/>
  <c r="J44" i="5"/>
  <c r="K44" i="5"/>
  <c r="L44" i="5"/>
  <c r="M44" i="5"/>
  <c r="N44" i="5"/>
  <c r="O44" i="5"/>
  <c r="D45" i="5"/>
  <c r="E45" i="5"/>
  <c r="F45" i="5"/>
  <c r="G45" i="5"/>
  <c r="H45" i="5"/>
  <c r="I45" i="5"/>
  <c r="J45" i="5"/>
  <c r="K45" i="5"/>
  <c r="L45" i="5"/>
  <c r="M45" i="5"/>
  <c r="N45" i="5"/>
  <c r="O45" i="5"/>
  <c r="F14" i="12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G13" i="12"/>
  <c r="H13" i="12" s="1"/>
  <c r="I13" i="12" s="1"/>
  <c r="J13" i="12" s="1"/>
  <c r="K13" i="12" s="1"/>
  <c r="L13" i="12" s="1"/>
  <c r="M13" i="12" s="1"/>
  <c r="N13" i="12" s="1"/>
  <c r="O13" i="12" s="1"/>
  <c r="P13" i="12" s="1"/>
  <c r="F13" i="12"/>
  <c r="G12" i="12"/>
  <c r="H12" i="12" s="1"/>
  <c r="I12" i="12" s="1"/>
  <c r="J12" i="12" s="1"/>
  <c r="K12" i="12" s="1"/>
  <c r="L12" i="12" s="1"/>
  <c r="M12" i="12" s="1"/>
  <c r="N12" i="12" s="1"/>
  <c r="O12" i="12" s="1"/>
  <c r="P12" i="12" s="1"/>
  <c r="F12" i="12"/>
  <c r="G11" i="12"/>
  <c r="H11" i="12" s="1"/>
  <c r="I11" i="12" s="1"/>
  <c r="J11" i="12" s="1"/>
  <c r="K11" i="12" s="1"/>
  <c r="L11" i="12" s="1"/>
  <c r="M11" i="12" s="1"/>
  <c r="N11" i="12" s="1"/>
  <c r="O11" i="12" s="1"/>
  <c r="P11" i="12" s="1"/>
  <c r="F11" i="12"/>
  <c r="G10" i="12"/>
  <c r="H10" i="12" s="1"/>
  <c r="I10" i="12" s="1"/>
  <c r="J10" i="12" s="1"/>
  <c r="K10" i="12" s="1"/>
  <c r="L10" i="12" s="1"/>
  <c r="M10" i="12" s="1"/>
  <c r="N10" i="12" s="1"/>
  <c r="O10" i="12" s="1"/>
  <c r="P10" i="12" s="1"/>
  <c r="F10" i="12"/>
  <c r="G9" i="12"/>
  <c r="H9" i="12" s="1"/>
  <c r="I9" i="12" s="1"/>
  <c r="J9" i="12" s="1"/>
  <c r="K9" i="12" s="1"/>
  <c r="L9" i="12" s="1"/>
  <c r="M9" i="12" s="1"/>
  <c r="N9" i="12" s="1"/>
  <c r="O9" i="12" s="1"/>
  <c r="P9" i="12" s="1"/>
  <c r="F9" i="12"/>
  <c r="G8" i="12"/>
  <c r="H8" i="12" s="1"/>
  <c r="I8" i="12" s="1"/>
  <c r="J8" i="12" s="1"/>
  <c r="K8" i="12" s="1"/>
  <c r="L8" i="12" s="1"/>
  <c r="M8" i="12" s="1"/>
  <c r="N8" i="12" s="1"/>
  <c r="O8" i="12" s="1"/>
  <c r="P8" i="12" s="1"/>
  <c r="F8" i="12"/>
  <c r="G7" i="12"/>
  <c r="F7" i="12"/>
  <c r="C7" i="12"/>
  <c r="C14" i="12" s="1"/>
  <c r="F6" i="12"/>
  <c r="O37" i="5"/>
  <c r="N37" i="5"/>
  <c r="M37" i="5"/>
  <c r="L37" i="5"/>
  <c r="K37" i="5"/>
  <c r="J37" i="5"/>
  <c r="I37" i="5"/>
  <c r="H37" i="5"/>
  <c r="G37" i="5"/>
  <c r="F37" i="5"/>
  <c r="E37" i="5"/>
  <c r="D37" i="5"/>
  <c r="D31" i="5"/>
  <c r="E31" i="5"/>
  <c r="P31" i="5" s="1"/>
  <c r="Q31" i="5" s="1"/>
  <c r="R31" i="5" s="1"/>
  <c r="F31" i="5"/>
  <c r="G31" i="5"/>
  <c r="H31" i="5"/>
  <c r="I31" i="5"/>
  <c r="J31" i="5"/>
  <c r="K31" i="5"/>
  <c r="L31" i="5"/>
  <c r="M31" i="5"/>
  <c r="N31" i="5"/>
  <c r="O31" i="5"/>
  <c r="O35" i="5"/>
  <c r="N35" i="5"/>
  <c r="M35" i="5"/>
  <c r="L35" i="5"/>
  <c r="K35" i="5"/>
  <c r="J35" i="5"/>
  <c r="I35" i="5"/>
  <c r="H35" i="5"/>
  <c r="G35" i="5"/>
  <c r="F35" i="5"/>
  <c r="E35" i="5"/>
  <c r="D35" i="5"/>
  <c r="O34" i="5"/>
  <c r="N34" i="5"/>
  <c r="M34" i="5"/>
  <c r="L34" i="5"/>
  <c r="K34" i="5"/>
  <c r="J34" i="5"/>
  <c r="I34" i="5"/>
  <c r="H34" i="5"/>
  <c r="G34" i="5"/>
  <c r="F34" i="5"/>
  <c r="E34" i="5"/>
  <c r="D34" i="5"/>
  <c r="O33" i="5"/>
  <c r="N33" i="5"/>
  <c r="M33" i="5"/>
  <c r="L33" i="5"/>
  <c r="K33" i="5"/>
  <c r="J33" i="5"/>
  <c r="I33" i="5"/>
  <c r="H33" i="5"/>
  <c r="G33" i="5"/>
  <c r="F33" i="5"/>
  <c r="E33" i="5"/>
  <c r="D33" i="5"/>
  <c r="O32" i="5"/>
  <c r="N32" i="5"/>
  <c r="M32" i="5"/>
  <c r="L32" i="5"/>
  <c r="K32" i="5"/>
  <c r="J32" i="5"/>
  <c r="I32" i="5"/>
  <c r="H32" i="5"/>
  <c r="G32" i="5"/>
  <c r="F32" i="5"/>
  <c r="E32" i="5"/>
  <c r="D32" i="5"/>
  <c r="O30" i="5"/>
  <c r="N30" i="5"/>
  <c r="M30" i="5"/>
  <c r="L30" i="5"/>
  <c r="K30" i="5"/>
  <c r="J30" i="5"/>
  <c r="I30" i="5"/>
  <c r="H30" i="5"/>
  <c r="G30" i="5"/>
  <c r="F30" i="5"/>
  <c r="E30" i="5"/>
  <c r="D30" i="5"/>
  <c r="O29" i="5"/>
  <c r="N29" i="5"/>
  <c r="M29" i="5"/>
  <c r="L29" i="5"/>
  <c r="K29" i="5"/>
  <c r="J29" i="5"/>
  <c r="I29" i="5"/>
  <c r="H29" i="5"/>
  <c r="G29" i="5"/>
  <c r="F29" i="5"/>
  <c r="E29" i="5"/>
  <c r="D29" i="5"/>
  <c r="O28" i="5"/>
  <c r="N28" i="5"/>
  <c r="M28" i="5"/>
  <c r="L28" i="5"/>
  <c r="K28" i="5"/>
  <c r="J28" i="5"/>
  <c r="I28" i="5"/>
  <c r="H28" i="5"/>
  <c r="G28" i="5"/>
  <c r="F28" i="5"/>
  <c r="E28" i="5"/>
  <c r="D28" i="5"/>
  <c r="O27" i="5"/>
  <c r="N27" i="5"/>
  <c r="M27" i="5"/>
  <c r="L27" i="5"/>
  <c r="K27" i="5"/>
  <c r="J27" i="5"/>
  <c r="I27" i="5"/>
  <c r="H27" i="5"/>
  <c r="G27" i="5"/>
  <c r="F27" i="5"/>
  <c r="E27" i="5"/>
  <c r="D27" i="5"/>
  <c r="G6" i="11"/>
  <c r="H6" i="11" s="1"/>
  <c r="I6" i="11" s="1"/>
  <c r="J6" i="11" s="1"/>
  <c r="K6" i="11" s="1"/>
  <c r="L6" i="11" s="1"/>
  <c r="M6" i="11" s="1"/>
  <c r="N6" i="11" s="1"/>
  <c r="O6" i="11" s="1"/>
  <c r="P6" i="11" s="1"/>
  <c r="G7" i="11"/>
  <c r="H7" i="11" s="1"/>
  <c r="I7" i="11" s="1"/>
  <c r="J7" i="11" s="1"/>
  <c r="K7" i="11" s="1"/>
  <c r="L7" i="11" s="1"/>
  <c r="M7" i="11" s="1"/>
  <c r="N7" i="11" s="1"/>
  <c r="O7" i="11" s="1"/>
  <c r="P7" i="11" s="1"/>
  <c r="G8" i="11"/>
  <c r="H8" i="11" s="1"/>
  <c r="I8" i="11" s="1"/>
  <c r="J8" i="11" s="1"/>
  <c r="K8" i="11" s="1"/>
  <c r="L8" i="11" s="1"/>
  <c r="M8" i="11" s="1"/>
  <c r="N8" i="11" s="1"/>
  <c r="O8" i="11" s="1"/>
  <c r="P8" i="11" s="1"/>
  <c r="G9" i="11"/>
  <c r="H9" i="11" s="1"/>
  <c r="I9" i="11" s="1"/>
  <c r="J9" i="11" s="1"/>
  <c r="K9" i="11" s="1"/>
  <c r="L9" i="11" s="1"/>
  <c r="M9" i="11" s="1"/>
  <c r="N9" i="11" s="1"/>
  <c r="O9" i="11" s="1"/>
  <c r="P9" i="11" s="1"/>
  <c r="G10" i="11"/>
  <c r="H10" i="11" s="1"/>
  <c r="I10" i="11" s="1"/>
  <c r="J10" i="11" s="1"/>
  <c r="K10" i="11" s="1"/>
  <c r="L10" i="11" s="1"/>
  <c r="M10" i="11" s="1"/>
  <c r="N10" i="11" s="1"/>
  <c r="O10" i="11" s="1"/>
  <c r="P10" i="11" s="1"/>
  <c r="G11" i="11"/>
  <c r="H11" i="11" s="1"/>
  <c r="I11" i="11" s="1"/>
  <c r="J11" i="11" s="1"/>
  <c r="K11" i="11" s="1"/>
  <c r="L11" i="11" s="1"/>
  <c r="M11" i="11" s="1"/>
  <c r="N11" i="11" s="1"/>
  <c r="O11" i="11" s="1"/>
  <c r="P11" i="11" s="1"/>
  <c r="G12" i="11"/>
  <c r="H12" i="11" s="1"/>
  <c r="I12" i="11" s="1"/>
  <c r="J12" i="11" s="1"/>
  <c r="K12" i="11" s="1"/>
  <c r="L12" i="11" s="1"/>
  <c r="M12" i="11" s="1"/>
  <c r="N12" i="11" s="1"/>
  <c r="O12" i="11" s="1"/>
  <c r="P12" i="11" s="1"/>
  <c r="G13" i="11"/>
  <c r="H13" i="11" s="1"/>
  <c r="I13" i="11" s="1"/>
  <c r="J13" i="11" s="1"/>
  <c r="K13" i="11" s="1"/>
  <c r="L13" i="11" s="1"/>
  <c r="M13" i="11" s="1"/>
  <c r="N13" i="11" s="1"/>
  <c r="O13" i="11" s="1"/>
  <c r="P13" i="11" s="1"/>
  <c r="G14" i="11"/>
  <c r="H14" i="11" s="1"/>
  <c r="I14" i="11" s="1"/>
  <c r="J14" i="11" s="1"/>
  <c r="K14" i="11" s="1"/>
  <c r="L14" i="11" s="1"/>
  <c r="M14" i="11" s="1"/>
  <c r="N14" i="11" s="1"/>
  <c r="O14" i="11" s="1"/>
  <c r="P14" i="11" s="1"/>
  <c r="F7" i="11"/>
  <c r="F8" i="11"/>
  <c r="F9" i="11"/>
  <c r="F10" i="11"/>
  <c r="F11" i="11"/>
  <c r="F12" i="11"/>
  <c r="F13" i="11"/>
  <c r="F14" i="11"/>
  <c r="F6" i="11"/>
  <c r="F14" i="10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P50" i="5" l="1"/>
  <c r="P45" i="5"/>
  <c r="P44" i="5"/>
  <c r="P43" i="5"/>
  <c r="P42" i="5"/>
  <c r="P41" i="5"/>
  <c r="P40" i="5"/>
  <c r="P39" i="5"/>
  <c r="P38" i="5"/>
  <c r="Q6" i="12"/>
  <c r="G6" i="12"/>
  <c r="H6" i="12" s="1"/>
  <c r="I6" i="12" s="1"/>
  <c r="J6" i="12" s="1"/>
  <c r="K6" i="12" s="1"/>
  <c r="L6" i="12" s="1"/>
  <c r="M6" i="12" s="1"/>
  <c r="N6" i="12" s="1"/>
  <c r="O6" i="12" s="1"/>
  <c r="P6" i="12" s="1"/>
  <c r="H7" i="12"/>
  <c r="I7" i="12" s="1"/>
  <c r="J7" i="12" s="1"/>
  <c r="K7" i="12" s="1"/>
  <c r="L7" i="12" s="1"/>
  <c r="M7" i="12" s="1"/>
  <c r="N7" i="12" s="1"/>
  <c r="O7" i="12" s="1"/>
  <c r="P7" i="12" s="1"/>
  <c r="Q8" i="12"/>
  <c r="Q9" i="12"/>
  <c r="Q10" i="12"/>
  <c r="Q11" i="12"/>
  <c r="Q12" i="12"/>
  <c r="Q13" i="12"/>
  <c r="Q7" i="12" l="1"/>
  <c r="Q14" i="10" l="1"/>
  <c r="D14" i="5"/>
  <c r="E14" i="5"/>
  <c r="F14" i="5"/>
  <c r="G14" i="5"/>
  <c r="H14" i="5"/>
  <c r="I14" i="5"/>
  <c r="J14" i="5"/>
  <c r="K14" i="5"/>
  <c r="L14" i="5"/>
  <c r="M14" i="5"/>
  <c r="N14" i="5"/>
  <c r="O14" i="5"/>
  <c r="O19" i="5"/>
  <c r="N19" i="5"/>
  <c r="M19" i="5"/>
  <c r="L19" i="5"/>
  <c r="K19" i="5"/>
  <c r="J19" i="5"/>
  <c r="I19" i="5"/>
  <c r="H19" i="5"/>
  <c r="G19" i="5"/>
  <c r="F19" i="5"/>
  <c r="E19" i="5"/>
  <c r="D19" i="5"/>
  <c r="O18" i="5"/>
  <c r="N18" i="5"/>
  <c r="M18" i="5"/>
  <c r="L18" i="5"/>
  <c r="K18" i="5"/>
  <c r="J18" i="5"/>
  <c r="I18" i="5"/>
  <c r="H18" i="5"/>
  <c r="G18" i="5"/>
  <c r="F18" i="5"/>
  <c r="E18" i="5"/>
  <c r="D18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O15" i="5"/>
  <c r="N15" i="5"/>
  <c r="M15" i="5"/>
  <c r="L15" i="5"/>
  <c r="K15" i="5"/>
  <c r="J15" i="5"/>
  <c r="I15" i="5"/>
  <c r="H15" i="5"/>
  <c r="G15" i="5"/>
  <c r="F15" i="5"/>
  <c r="E15" i="5"/>
  <c r="D15" i="5"/>
  <c r="O13" i="5"/>
  <c r="N13" i="5"/>
  <c r="M13" i="5"/>
  <c r="L13" i="5"/>
  <c r="K13" i="5"/>
  <c r="J13" i="5"/>
  <c r="I13" i="5"/>
  <c r="H13" i="5"/>
  <c r="G13" i="5"/>
  <c r="F13" i="5"/>
  <c r="E13" i="5"/>
  <c r="D13" i="5"/>
  <c r="O12" i="5"/>
  <c r="N12" i="5"/>
  <c r="M12" i="5"/>
  <c r="L12" i="5"/>
  <c r="K12" i="5"/>
  <c r="J12" i="5"/>
  <c r="I12" i="5"/>
  <c r="H12" i="5"/>
  <c r="G12" i="5"/>
  <c r="F12" i="5"/>
  <c r="E12" i="5"/>
  <c r="D12" i="5"/>
  <c r="O11" i="5"/>
  <c r="N11" i="5"/>
  <c r="M11" i="5"/>
  <c r="L11" i="5"/>
  <c r="K11" i="5"/>
  <c r="J11" i="5"/>
  <c r="I11" i="5"/>
  <c r="H11" i="5"/>
  <c r="G11" i="5"/>
  <c r="F11" i="5"/>
  <c r="E11" i="5"/>
  <c r="D11" i="5"/>
  <c r="F13" i="9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P14" i="5" l="1"/>
  <c r="Q14" i="5" s="1"/>
  <c r="R14" i="5" s="1"/>
  <c r="P138" i="5"/>
  <c r="P119" i="5" l="1"/>
  <c r="F119" i="5" s="1"/>
  <c r="P75" i="5"/>
  <c r="Q75" i="5" s="1"/>
  <c r="R75" i="5" s="1"/>
  <c r="P76" i="5"/>
  <c r="Q76" i="5" s="1"/>
  <c r="R76" i="5" s="1"/>
  <c r="P78" i="5"/>
  <c r="O119" i="5" l="1"/>
  <c r="M119" i="5"/>
  <c r="K119" i="5"/>
  <c r="I119" i="5"/>
  <c r="G119" i="5"/>
  <c r="E119" i="5"/>
  <c r="D119" i="5"/>
  <c r="N119" i="5"/>
  <c r="L119" i="5"/>
  <c r="J119" i="5"/>
  <c r="H119" i="5"/>
  <c r="C36" i="5" l="1"/>
  <c r="E36" i="5"/>
  <c r="D36" i="5"/>
  <c r="F6" i="10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N36" i="5" l="1"/>
  <c r="L36" i="5"/>
  <c r="J36" i="5"/>
  <c r="H36" i="5"/>
  <c r="F36" i="5"/>
  <c r="O36" i="5"/>
  <c r="M36" i="5"/>
  <c r="K36" i="5"/>
  <c r="I36" i="5"/>
  <c r="G36" i="5"/>
  <c r="P37" i="5"/>
  <c r="C46" i="5"/>
  <c r="C26" i="5"/>
  <c r="P36" i="5" l="1"/>
  <c r="Q37" i="5"/>
  <c r="R37" i="5" s="1"/>
  <c r="P35" i="5"/>
  <c r="Q35" i="5" s="1"/>
  <c r="R35" i="5" s="1"/>
  <c r="P80" i="5" l="1"/>
  <c r="P81" i="5"/>
  <c r="P83" i="5"/>
  <c r="P84" i="5"/>
  <c r="P85" i="5"/>
  <c r="P86" i="5"/>
  <c r="P87" i="5"/>
  <c r="P88" i="5"/>
  <c r="P79" i="5"/>
  <c r="D77" i="5"/>
  <c r="E77" i="5"/>
  <c r="F77" i="5"/>
  <c r="G77" i="5"/>
  <c r="H77" i="5"/>
  <c r="I77" i="5"/>
  <c r="J77" i="5"/>
  <c r="K77" i="5"/>
  <c r="L77" i="5"/>
  <c r="M77" i="5"/>
  <c r="N77" i="5"/>
  <c r="O77" i="5"/>
  <c r="E8" i="15" l="1"/>
  <c r="F4" i="15"/>
  <c r="F5" i="15"/>
  <c r="F6" i="15"/>
  <c r="F7" i="15"/>
  <c r="E182" i="5" l="1"/>
  <c r="G182" i="5"/>
  <c r="I182" i="5"/>
  <c r="K182" i="5"/>
  <c r="M182" i="5"/>
  <c r="O182" i="5"/>
  <c r="F182" i="5"/>
  <c r="H182" i="5"/>
  <c r="J182" i="5"/>
  <c r="L182" i="5"/>
  <c r="N182" i="5"/>
  <c r="D182" i="5"/>
  <c r="F179" i="5"/>
  <c r="H179" i="5"/>
  <c r="J179" i="5"/>
  <c r="L179" i="5"/>
  <c r="N179" i="5"/>
  <c r="D179" i="5"/>
  <c r="E179" i="5"/>
  <c r="G179" i="5"/>
  <c r="I179" i="5"/>
  <c r="K179" i="5"/>
  <c r="M179" i="5"/>
  <c r="O179" i="5"/>
  <c r="E180" i="5"/>
  <c r="G180" i="5"/>
  <c r="I180" i="5"/>
  <c r="K180" i="5"/>
  <c r="M180" i="5"/>
  <c r="O180" i="5"/>
  <c r="D180" i="5"/>
  <c r="F180" i="5"/>
  <c r="H180" i="5"/>
  <c r="J180" i="5"/>
  <c r="L180" i="5"/>
  <c r="N180" i="5"/>
  <c r="F181" i="5"/>
  <c r="H181" i="5"/>
  <c r="J181" i="5"/>
  <c r="L181" i="5"/>
  <c r="N181" i="5"/>
  <c r="D181" i="5"/>
  <c r="E181" i="5"/>
  <c r="G181" i="5"/>
  <c r="I181" i="5"/>
  <c r="K181" i="5"/>
  <c r="M181" i="5"/>
  <c r="O181" i="5"/>
  <c r="E5" i="15"/>
  <c r="E7" i="15"/>
  <c r="E6" i="15"/>
  <c r="E4" i="15"/>
  <c r="D8" i="15"/>
  <c r="P182" i="5" l="1"/>
  <c r="Q182" i="5" s="1"/>
  <c r="R182" i="5" s="1"/>
  <c r="P179" i="5"/>
  <c r="Q179" i="5" s="1"/>
  <c r="R179" i="5" s="1"/>
  <c r="P180" i="5"/>
  <c r="Q180" i="5" s="1"/>
  <c r="R180" i="5" s="1"/>
  <c r="P181" i="5"/>
  <c r="Q181" i="5" s="1"/>
  <c r="R181" i="5" s="1"/>
  <c r="F7" i="10" l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F8" i="10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F9" i="10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F10" i="10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F11" i="10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F12" i="10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F13" i="10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20" i="5" l="1"/>
  <c r="G6" i="9"/>
  <c r="H6" i="9" s="1"/>
  <c r="I6" i="9" s="1"/>
  <c r="J6" i="9" s="1"/>
  <c r="K6" i="9" s="1"/>
  <c r="L6" i="9" s="1"/>
  <c r="M6" i="9" s="1"/>
  <c r="N6" i="9" s="1"/>
  <c r="O6" i="9" s="1"/>
  <c r="P6" i="9" s="1"/>
  <c r="F7" i="9"/>
  <c r="G7" i="9" s="1"/>
  <c r="H7" i="9" s="1"/>
  <c r="I7" i="9" s="1"/>
  <c r="J7" i="9" s="1"/>
  <c r="K7" i="9" s="1"/>
  <c r="L7" i="9" s="1"/>
  <c r="M7" i="9" s="1"/>
  <c r="O7" i="9" s="1"/>
  <c r="P7" i="9" s="1"/>
  <c r="F8" i="9"/>
  <c r="G8" i="9" s="1"/>
  <c r="H8" i="9" s="1"/>
  <c r="J8" i="9" s="1"/>
  <c r="K8" i="9" s="1"/>
  <c r="L8" i="9" s="1"/>
  <c r="M8" i="9" s="1"/>
  <c r="N8" i="9" s="1"/>
  <c r="O8" i="9" s="1"/>
  <c r="P8" i="9" s="1"/>
  <c r="F9" i="9"/>
  <c r="H9" i="9" s="1"/>
  <c r="I9" i="9" s="1"/>
  <c r="J9" i="9" s="1"/>
  <c r="K9" i="9" s="1"/>
  <c r="L9" i="9" s="1"/>
  <c r="M9" i="9" s="1"/>
  <c r="N9" i="9" s="1"/>
  <c r="O9" i="9" s="1"/>
  <c r="P9" i="9" s="1"/>
  <c r="F10" i="9"/>
  <c r="G10" i="9" s="1"/>
  <c r="H10" i="9" s="1"/>
  <c r="I10" i="9" s="1"/>
  <c r="J10" i="9" s="1"/>
  <c r="K10" i="9" s="1"/>
  <c r="L10" i="9" s="1"/>
  <c r="N10" i="9" s="1"/>
  <c r="O10" i="9" s="1"/>
  <c r="P10" i="9" s="1"/>
  <c r="F11" i="9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F12" i="9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F5" i="9"/>
  <c r="H5" i="9" s="1"/>
  <c r="I5" i="9" s="1"/>
  <c r="J5" i="9" s="1"/>
  <c r="K5" i="9" s="1"/>
  <c r="L5" i="9" s="1"/>
  <c r="M5" i="9" s="1"/>
  <c r="N5" i="9" s="1"/>
  <c r="O5" i="9" s="1"/>
  <c r="P5" i="9" s="1"/>
  <c r="D22" i="5" l="1"/>
  <c r="R136" i="5"/>
  <c r="R137" i="5"/>
  <c r="R138" i="5"/>
  <c r="R139" i="5"/>
  <c r="R140" i="5"/>
  <c r="R142" i="5"/>
  <c r="R143" i="5"/>
  <c r="R144" i="5"/>
  <c r="R145" i="5"/>
  <c r="R146" i="5"/>
  <c r="R147" i="5"/>
  <c r="R149" i="5"/>
  <c r="R151" i="5"/>
  <c r="R152" i="5"/>
  <c r="R154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7" i="5"/>
  <c r="R178" i="5"/>
  <c r="R184" i="5"/>
  <c r="R185" i="5"/>
  <c r="R187" i="5"/>
  <c r="E22" i="5" l="1"/>
  <c r="R20" i="5"/>
  <c r="R21" i="5"/>
  <c r="R23" i="5"/>
  <c r="R24" i="5"/>
  <c r="R25" i="5"/>
  <c r="R56" i="5"/>
  <c r="R57" i="5"/>
  <c r="R58" i="5"/>
  <c r="R59" i="5"/>
  <c r="R61" i="5"/>
  <c r="R62" i="5"/>
  <c r="R63" i="5"/>
  <c r="R64" i="5"/>
  <c r="R65" i="5"/>
  <c r="R67" i="5"/>
  <c r="R69" i="5"/>
  <c r="R71" i="5"/>
  <c r="R72" i="5"/>
  <c r="R73" i="5"/>
  <c r="R77" i="5"/>
  <c r="R92" i="5"/>
  <c r="R93" i="5"/>
  <c r="R104" i="5"/>
  <c r="R105" i="5"/>
  <c r="R111" i="5"/>
  <c r="R113" i="5"/>
  <c r="R114" i="5"/>
  <c r="R120" i="5"/>
  <c r="R122" i="5"/>
  <c r="R123" i="5"/>
  <c r="R126" i="5"/>
  <c r="R127" i="5"/>
  <c r="R129" i="5"/>
  <c r="R130" i="5"/>
  <c r="R132" i="5"/>
  <c r="R133" i="5"/>
  <c r="F22" i="5" l="1"/>
  <c r="Q84" i="5"/>
  <c r="R84" i="5" s="1"/>
  <c r="G22" i="5" l="1"/>
  <c r="H22" i="5" l="1"/>
  <c r="P117" i="5"/>
  <c r="K116" i="5"/>
  <c r="J116" i="5"/>
  <c r="G116" i="5"/>
  <c r="F116" i="5"/>
  <c r="P115" i="5"/>
  <c r="I22" i="5" l="1"/>
  <c r="P116" i="5"/>
  <c r="J22" i="5" l="1"/>
  <c r="P197" i="5"/>
  <c r="K22" i="5" l="1"/>
  <c r="P98" i="5"/>
  <c r="L22" i="5" l="1"/>
  <c r="Q77" i="5"/>
  <c r="H145" i="5"/>
  <c r="I145" i="5"/>
  <c r="E109" i="5"/>
  <c r="F109" i="5"/>
  <c r="G109" i="5"/>
  <c r="H109" i="5"/>
  <c r="I109" i="5"/>
  <c r="J109" i="5"/>
  <c r="K109" i="5"/>
  <c r="L109" i="5"/>
  <c r="M109" i="5"/>
  <c r="N109" i="5"/>
  <c r="O109" i="5"/>
  <c r="M22" i="5" l="1"/>
  <c r="O22" i="5" l="1"/>
  <c r="N22" i="5"/>
  <c r="D183" i="5"/>
  <c r="E205" i="5"/>
  <c r="F205" i="5"/>
  <c r="G205" i="5"/>
  <c r="H205" i="5"/>
  <c r="I205" i="5"/>
  <c r="J205" i="5"/>
  <c r="K205" i="5"/>
  <c r="L205" i="5"/>
  <c r="M205" i="5"/>
  <c r="N205" i="5"/>
  <c r="O205" i="5"/>
  <c r="D205" i="5"/>
  <c r="P196" i="5"/>
  <c r="P205" i="5" l="1"/>
  <c r="P74" i="5"/>
  <c r="Q80" i="5" l="1"/>
  <c r="R80" i="5" s="1"/>
  <c r="Q21" i="5"/>
  <c r="Q23" i="5"/>
  <c r="Q24" i="5"/>
  <c r="Q25" i="5"/>
  <c r="Q36" i="5"/>
  <c r="R36" i="5" s="1"/>
  <c r="Q56" i="5"/>
  <c r="Q57" i="5"/>
  <c r="Q58" i="5"/>
  <c r="Q59" i="5"/>
  <c r="Q61" i="5"/>
  <c r="Q62" i="5"/>
  <c r="Q67" i="5"/>
  <c r="Q69" i="5"/>
  <c r="Q71" i="5"/>
  <c r="Q72" i="5"/>
  <c r="Q73" i="5"/>
  <c r="Q74" i="5"/>
  <c r="R74" i="5" s="1"/>
  <c r="Q78" i="5"/>
  <c r="R78" i="5" s="1"/>
  <c r="Q79" i="5"/>
  <c r="R79" i="5" s="1"/>
  <c r="Q88" i="5"/>
  <c r="R88" i="5" s="1"/>
  <c r="Q92" i="5"/>
  <c r="Q93" i="5"/>
  <c r="Q100" i="5"/>
  <c r="R100" i="5" s="1"/>
  <c r="Q104" i="5"/>
  <c r="Q105" i="5"/>
  <c r="Q111" i="5"/>
  <c r="Q113" i="5"/>
  <c r="Q114" i="5"/>
  <c r="Q115" i="5"/>
  <c r="R115" i="5" s="1"/>
  <c r="Q117" i="5"/>
  <c r="R117" i="5" s="1"/>
  <c r="Q120" i="5"/>
  <c r="Q122" i="5"/>
  <c r="Q123" i="5"/>
  <c r="Q126" i="5"/>
  <c r="Q127" i="5"/>
  <c r="Q129" i="5"/>
  <c r="Q130" i="5"/>
  <c r="Q132" i="5"/>
  <c r="Q133" i="5"/>
  <c r="Q136" i="5"/>
  <c r="Q140" i="5"/>
  <c r="Q142" i="5"/>
  <c r="Q143" i="5"/>
  <c r="Q144" i="5"/>
  <c r="Q147" i="5"/>
  <c r="Q149" i="5"/>
  <c r="Q151" i="5"/>
  <c r="Q152" i="5"/>
  <c r="Q154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7" i="5"/>
  <c r="Q178" i="5"/>
  <c r="Q184" i="5"/>
  <c r="Q185" i="5"/>
  <c r="Q187" i="5"/>
  <c r="Q103" i="5" l="1"/>
  <c r="R103" i="5" s="1"/>
  <c r="E103" i="5"/>
  <c r="G103" i="5"/>
  <c r="I103" i="5"/>
  <c r="K103" i="5"/>
  <c r="M103" i="5"/>
  <c r="O103" i="5"/>
  <c r="D103" i="5"/>
  <c r="F103" i="5"/>
  <c r="H103" i="5"/>
  <c r="J103" i="5"/>
  <c r="L103" i="5"/>
  <c r="N103" i="5"/>
  <c r="C183" i="5"/>
  <c r="C176" i="5"/>
  <c r="R176" i="5" s="1"/>
  <c r="C155" i="5"/>
  <c r="C148" i="5"/>
  <c r="R148" i="5" s="1"/>
  <c r="C141" i="5"/>
  <c r="R141" i="5" s="1"/>
  <c r="C135" i="5"/>
  <c r="C125" i="5"/>
  <c r="C106" i="5"/>
  <c r="Q85" i="5"/>
  <c r="R85" i="5" s="1"/>
  <c r="Q83" i="5"/>
  <c r="R83" i="5" s="1"/>
  <c r="Q81" i="5"/>
  <c r="R81" i="5" s="1"/>
  <c r="C91" i="5"/>
  <c r="R66" i="5"/>
  <c r="C22" i="5"/>
  <c r="C10" i="5" l="1"/>
  <c r="Q106" i="5"/>
  <c r="R106" i="5"/>
  <c r="C150" i="5"/>
  <c r="C186" i="5" s="1"/>
  <c r="C68" i="5"/>
  <c r="R68" i="5" s="1"/>
  <c r="Q66" i="5"/>
  <c r="C60" i="5"/>
  <c r="C70" i="5" l="1"/>
  <c r="O141" i="5"/>
  <c r="N141" i="5"/>
  <c r="M141" i="5"/>
  <c r="L141" i="5"/>
  <c r="K141" i="5"/>
  <c r="J141" i="5"/>
  <c r="I141" i="5"/>
  <c r="H141" i="5"/>
  <c r="G141" i="5"/>
  <c r="F141" i="5"/>
  <c r="D141" i="5"/>
  <c r="P140" i="5"/>
  <c r="P139" i="5"/>
  <c r="Q139" i="5" s="1"/>
  <c r="E183" i="5"/>
  <c r="F183" i="5"/>
  <c r="G183" i="5"/>
  <c r="H183" i="5"/>
  <c r="I183" i="5"/>
  <c r="J183" i="5"/>
  <c r="K183" i="5"/>
  <c r="L183" i="5"/>
  <c r="M183" i="5"/>
  <c r="N183" i="5"/>
  <c r="O183" i="5"/>
  <c r="E141" i="5" l="1"/>
  <c r="P154" i="5"/>
  <c r="P183" i="5"/>
  <c r="Q183" i="5" s="1"/>
  <c r="R183" i="5" s="1"/>
  <c r="Q138" i="5" l="1"/>
  <c r="P124" i="5"/>
  <c r="Q124" i="5" s="1"/>
  <c r="R124" i="5" s="1"/>
  <c r="P141" i="5" l="1"/>
  <c r="Q141" i="5" s="1"/>
  <c r="E117" i="5" l="1"/>
  <c r="F117" i="5"/>
  <c r="G117" i="5"/>
  <c r="H117" i="5"/>
  <c r="I117" i="5"/>
  <c r="J117" i="5"/>
  <c r="K117" i="5"/>
  <c r="L117" i="5"/>
  <c r="M117" i="5"/>
  <c r="N117" i="5"/>
  <c r="O117" i="5"/>
  <c r="D117" i="5"/>
  <c r="Q116" i="5"/>
  <c r="R116" i="5" s="1"/>
  <c r="L100" i="5"/>
  <c r="F100" i="5"/>
  <c r="F104" i="5" l="1"/>
  <c r="G104" i="5"/>
  <c r="H104" i="5"/>
  <c r="I104" i="5"/>
  <c r="J104" i="5"/>
  <c r="K104" i="5"/>
  <c r="L104" i="5"/>
  <c r="M104" i="5"/>
  <c r="N104" i="5"/>
  <c r="O104" i="5"/>
  <c r="F105" i="5"/>
  <c r="G105" i="5"/>
  <c r="H105" i="5"/>
  <c r="I105" i="5"/>
  <c r="J105" i="5"/>
  <c r="K105" i="5"/>
  <c r="L105" i="5"/>
  <c r="M105" i="5"/>
  <c r="N105" i="5"/>
  <c r="O105" i="5"/>
  <c r="F106" i="5"/>
  <c r="G106" i="5"/>
  <c r="H106" i="5"/>
  <c r="I106" i="5"/>
  <c r="J106" i="5"/>
  <c r="K106" i="5"/>
  <c r="L106" i="5"/>
  <c r="M106" i="5"/>
  <c r="N106" i="5"/>
  <c r="O106" i="5"/>
  <c r="G94" i="5"/>
  <c r="H94" i="5"/>
  <c r="I94" i="5"/>
  <c r="J94" i="5"/>
  <c r="K94" i="5"/>
  <c r="L94" i="5"/>
  <c r="M94" i="5"/>
  <c r="N94" i="5"/>
  <c r="O94" i="5"/>
  <c r="F94" i="5"/>
  <c r="E104" i="5"/>
  <c r="E105" i="5"/>
  <c r="E106" i="5"/>
  <c r="E94" i="5"/>
  <c r="D104" i="5"/>
  <c r="D105" i="5"/>
  <c r="D106" i="5"/>
  <c r="D94" i="5"/>
  <c r="Q94" i="5" l="1"/>
  <c r="R94" i="5" s="1"/>
  <c r="Q98" i="5"/>
  <c r="R98" i="5" s="1"/>
  <c r="Q89" i="5"/>
  <c r="R89" i="5" s="1"/>
  <c r="D79" i="5"/>
  <c r="E79" i="5"/>
  <c r="F79" i="5"/>
  <c r="G79" i="5"/>
  <c r="H79" i="5"/>
  <c r="I79" i="5"/>
  <c r="J79" i="5"/>
  <c r="K79" i="5"/>
  <c r="L79" i="5"/>
  <c r="M79" i="5"/>
  <c r="N79" i="5"/>
  <c r="O79" i="5"/>
  <c r="Q86" i="5" l="1"/>
  <c r="R86" i="5" s="1"/>
  <c r="P65" i="5" l="1"/>
  <c r="Q65" i="5" s="1"/>
  <c r="P64" i="5"/>
  <c r="Q64" i="5" s="1"/>
  <c r="P63" i="5"/>
  <c r="Q63" i="5" s="1"/>
  <c r="P17" i="12" l="1"/>
  <c r="O17" i="12"/>
  <c r="N17" i="12"/>
  <c r="M17" i="12"/>
  <c r="L17" i="12"/>
  <c r="K17" i="12"/>
  <c r="J17" i="12"/>
  <c r="I17" i="12"/>
  <c r="H17" i="12"/>
  <c r="G17" i="12"/>
  <c r="F17" i="12"/>
  <c r="E17" i="12"/>
  <c r="C16" i="12"/>
  <c r="P16" i="11"/>
  <c r="O16" i="11"/>
  <c r="N16" i="11"/>
  <c r="M16" i="11"/>
  <c r="L16" i="11"/>
  <c r="K16" i="11"/>
  <c r="J16" i="11"/>
  <c r="I16" i="11"/>
  <c r="H16" i="11"/>
  <c r="G16" i="11"/>
  <c r="F16" i="11"/>
  <c r="E16" i="11"/>
  <c r="Q13" i="11"/>
  <c r="Q12" i="11"/>
  <c r="Q11" i="11"/>
  <c r="Q10" i="11"/>
  <c r="Q9" i="11"/>
  <c r="Q8" i="11"/>
  <c r="Q7" i="11"/>
  <c r="C7" i="11"/>
  <c r="C14" i="11" s="1"/>
  <c r="Q6" i="11"/>
  <c r="Q17" i="12" l="1"/>
  <c r="Q16" i="11"/>
  <c r="P54" i="5"/>
  <c r="Q54" i="5" s="1"/>
  <c r="R54" i="5" s="1"/>
  <c r="P52" i="5"/>
  <c r="Q52" i="5" s="1"/>
  <c r="R52" i="5" s="1"/>
  <c r="P49" i="5"/>
  <c r="Q49" i="5" s="1"/>
  <c r="R49" i="5" s="1"/>
  <c r="P55" i="5"/>
  <c r="Q55" i="5" s="1"/>
  <c r="R55" i="5" s="1"/>
  <c r="P53" i="5"/>
  <c r="Q53" i="5" s="1"/>
  <c r="R53" i="5" s="1"/>
  <c r="P51" i="5"/>
  <c r="Q51" i="5" s="1"/>
  <c r="R51" i="5" s="1"/>
  <c r="P48" i="5"/>
  <c r="Q48" i="5" s="1"/>
  <c r="R48" i="5" s="1"/>
  <c r="P28" i="5"/>
  <c r="Q28" i="5" s="1"/>
  <c r="R28" i="5" s="1"/>
  <c r="P27" i="5"/>
  <c r="Q27" i="5" s="1"/>
  <c r="R27" i="5" s="1"/>
  <c r="P34" i="5"/>
  <c r="Q34" i="5" s="1"/>
  <c r="R34" i="5" s="1"/>
  <c r="P33" i="5"/>
  <c r="Q33" i="5" s="1"/>
  <c r="R33" i="5" s="1"/>
  <c r="P32" i="5"/>
  <c r="Q32" i="5" s="1"/>
  <c r="R32" i="5" s="1"/>
  <c r="P30" i="5"/>
  <c r="Q30" i="5" s="1"/>
  <c r="R30" i="5" s="1"/>
  <c r="P29" i="5"/>
  <c r="Q29" i="5" s="1"/>
  <c r="R29" i="5" s="1"/>
  <c r="C7" i="10" l="1"/>
  <c r="F10" i="5" l="1"/>
  <c r="H10" i="5"/>
  <c r="J10" i="5"/>
  <c r="L10" i="5"/>
  <c r="N10" i="5"/>
  <c r="D10" i="5"/>
  <c r="E10" i="5"/>
  <c r="G10" i="5"/>
  <c r="I10" i="5"/>
  <c r="K10" i="5"/>
  <c r="M10" i="5"/>
  <c r="O10" i="5"/>
  <c r="P13" i="5"/>
  <c r="Q13" i="5" s="1"/>
  <c r="R13" i="5" s="1"/>
  <c r="P12" i="5"/>
  <c r="Q12" i="5" s="1"/>
  <c r="R12" i="5" s="1"/>
  <c r="P18" i="5"/>
  <c r="Q18" i="5" s="1"/>
  <c r="R18" i="5" s="1"/>
  <c r="P16" i="5"/>
  <c r="Q16" i="5" s="1"/>
  <c r="R16" i="5" s="1"/>
  <c r="P19" i="5"/>
  <c r="Q19" i="5" s="1"/>
  <c r="R19" i="5" s="1"/>
  <c r="P17" i="5"/>
  <c r="Q17" i="5" s="1"/>
  <c r="R17" i="5" s="1"/>
  <c r="P15" i="5"/>
  <c r="Q15" i="5" s="1"/>
  <c r="R15" i="5" s="1"/>
  <c r="P11" i="5"/>
  <c r="Q11" i="5" l="1"/>
  <c r="P22" i="5"/>
  <c r="P10" i="5"/>
  <c r="Q10" i="5" s="1"/>
  <c r="R10" i="5" s="1"/>
  <c r="R11" i="5" l="1"/>
  <c r="Q22" i="5"/>
  <c r="Q6" i="9"/>
  <c r="Q7" i="9"/>
  <c r="Q8" i="9"/>
  <c r="Q9" i="9"/>
  <c r="Q10" i="9"/>
  <c r="Q11" i="9"/>
  <c r="Q12" i="9"/>
  <c r="Q13" i="9"/>
  <c r="Q5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C18" i="9"/>
  <c r="Q18" i="9" l="1"/>
  <c r="Q19" i="9"/>
  <c r="E26" i="5" l="1"/>
  <c r="F26" i="5"/>
  <c r="G26" i="5"/>
  <c r="H26" i="5"/>
  <c r="I26" i="5"/>
  <c r="J26" i="5"/>
  <c r="K26" i="5"/>
  <c r="L26" i="5"/>
  <c r="M26" i="5"/>
  <c r="N26" i="5"/>
  <c r="O26" i="5"/>
  <c r="D2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D148" i="5" l="1"/>
  <c r="E148" i="5"/>
  <c r="F148" i="5"/>
  <c r="G148" i="5"/>
  <c r="H148" i="5"/>
  <c r="I148" i="5"/>
  <c r="J148" i="5"/>
  <c r="K148" i="5"/>
  <c r="L148" i="5"/>
  <c r="M148" i="5"/>
  <c r="N148" i="5"/>
  <c r="O148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46" i="5"/>
  <c r="Q146" i="5" s="1"/>
  <c r="Q145" i="5"/>
  <c r="P153" i="5"/>
  <c r="Q153" i="5" s="1"/>
  <c r="R153" i="5" s="1"/>
  <c r="D125" i="5"/>
  <c r="E125" i="5"/>
  <c r="F125" i="5"/>
  <c r="G125" i="5"/>
  <c r="H125" i="5"/>
  <c r="I125" i="5"/>
  <c r="J125" i="5"/>
  <c r="K125" i="5"/>
  <c r="L125" i="5"/>
  <c r="M125" i="5"/>
  <c r="N125" i="5"/>
  <c r="O125" i="5"/>
  <c r="P134" i="5"/>
  <c r="P135" i="5" l="1"/>
  <c r="Q135" i="5" s="1"/>
  <c r="R135" i="5" s="1"/>
  <c r="Q134" i="5"/>
  <c r="R134" i="5" s="1"/>
  <c r="P20" i="10"/>
  <c r="O20" i="10"/>
  <c r="N20" i="10"/>
  <c r="M20" i="10"/>
  <c r="L20" i="10"/>
  <c r="K20" i="10"/>
  <c r="J20" i="10"/>
  <c r="H20" i="10"/>
  <c r="G20" i="10"/>
  <c r="F20" i="10"/>
  <c r="E20" i="10"/>
  <c r="C19" i="10"/>
  <c r="Q13" i="10"/>
  <c r="I20" i="10"/>
  <c r="Q12" i="10"/>
  <c r="Q11" i="10"/>
  <c r="Q10" i="10"/>
  <c r="Q9" i="10"/>
  <c r="Q8" i="10"/>
  <c r="Q7" i="10"/>
  <c r="Q6" i="10"/>
  <c r="E90" i="8"/>
  <c r="E91" i="8" s="1"/>
  <c r="E92" i="8" s="1"/>
  <c r="B80" i="8"/>
  <c r="E71" i="8"/>
  <c r="E72" i="8" s="1"/>
  <c r="E73" i="8" s="1"/>
  <c r="B61" i="8"/>
  <c r="B49" i="8"/>
  <c r="B51" i="8" s="1"/>
  <c r="B33" i="8"/>
  <c r="B25" i="8"/>
  <c r="B24" i="8"/>
  <c r="B26" i="8" s="1"/>
  <c r="B28" i="8" s="1"/>
  <c r="S14" i="8"/>
  <c r="R14" i="8"/>
  <c r="Q14" i="8"/>
  <c r="N14" i="8"/>
  <c r="M14" i="8"/>
  <c r="L14" i="8"/>
  <c r="K14" i="8"/>
  <c r="D12" i="8"/>
  <c r="D11" i="8"/>
  <c r="D10" i="8"/>
  <c r="W9" i="8"/>
  <c r="D9" i="8"/>
  <c r="W8" i="8"/>
  <c r="D8" i="8"/>
  <c r="W7" i="8"/>
  <c r="D6" i="8"/>
  <c r="D5" i="8"/>
  <c r="D4" i="8"/>
  <c r="D3" i="8"/>
  <c r="D2" i="8"/>
  <c r="D14" i="8" s="1"/>
  <c r="D15" i="8" s="1"/>
  <c r="F88" i="4"/>
  <c r="F87" i="4"/>
  <c r="F86" i="4"/>
  <c r="P147" i="5"/>
  <c r="F78" i="4" s="1"/>
  <c r="F74" i="4"/>
  <c r="P125" i="5"/>
  <c r="Q125" i="5" s="1"/>
  <c r="R125" i="5" s="1"/>
  <c r="F54" i="4"/>
  <c r="F51" i="4"/>
  <c r="Q109" i="5"/>
  <c r="R109" i="5" s="1"/>
  <c r="P108" i="5"/>
  <c r="Q108" i="5" s="1"/>
  <c r="R108" i="5" s="1"/>
  <c r="P107" i="5"/>
  <c r="F43" i="4"/>
  <c r="P102" i="5"/>
  <c r="C102" i="5" s="1"/>
  <c r="P101" i="5"/>
  <c r="P97" i="5"/>
  <c r="C97" i="5" s="1"/>
  <c r="P96" i="5"/>
  <c r="C96" i="5" s="1"/>
  <c r="P95" i="5"/>
  <c r="C95" i="5" s="1"/>
  <c r="G80" i="6"/>
  <c r="F80" i="6"/>
  <c r="E80" i="6"/>
  <c r="P78" i="6"/>
  <c r="O78" i="6"/>
  <c r="N78" i="6"/>
  <c r="M78" i="6"/>
  <c r="L78" i="6"/>
  <c r="K78" i="6"/>
  <c r="J78" i="6"/>
  <c r="I78" i="6"/>
  <c r="H78" i="6"/>
  <c r="G78" i="6"/>
  <c r="F78" i="6"/>
  <c r="E78" i="6"/>
  <c r="Q78" i="6" s="1"/>
  <c r="P75" i="6"/>
  <c r="O75" i="6"/>
  <c r="N75" i="6"/>
  <c r="M75" i="6"/>
  <c r="L75" i="6"/>
  <c r="K75" i="6"/>
  <c r="J75" i="6"/>
  <c r="I75" i="6"/>
  <c r="H75" i="6"/>
  <c r="G75" i="6"/>
  <c r="F75" i="6"/>
  <c r="E75" i="6"/>
  <c r="J73" i="6"/>
  <c r="I73" i="6"/>
  <c r="H73" i="6"/>
  <c r="I71" i="6"/>
  <c r="Q71" i="6" s="1"/>
  <c r="P69" i="6"/>
  <c r="O69" i="6"/>
  <c r="N69" i="6"/>
  <c r="M69" i="6"/>
  <c r="L69" i="6"/>
  <c r="K69" i="6"/>
  <c r="J69" i="6"/>
  <c r="I69" i="6"/>
  <c r="H69" i="6"/>
  <c r="G69" i="6"/>
  <c r="F69" i="6"/>
  <c r="E69" i="6"/>
  <c r="P65" i="6"/>
  <c r="O65" i="6"/>
  <c r="N65" i="6"/>
  <c r="M65" i="6"/>
  <c r="L65" i="6"/>
  <c r="K65" i="6"/>
  <c r="J65" i="6"/>
  <c r="I65" i="6"/>
  <c r="H65" i="6"/>
  <c r="G65" i="6"/>
  <c r="F65" i="6"/>
  <c r="E65" i="6"/>
  <c r="P64" i="6"/>
  <c r="O64" i="6"/>
  <c r="N64" i="6"/>
  <c r="M64" i="6"/>
  <c r="L64" i="6"/>
  <c r="K64" i="6"/>
  <c r="J64" i="6"/>
  <c r="I64" i="6"/>
  <c r="H64" i="6"/>
  <c r="P60" i="6"/>
  <c r="O60" i="6"/>
  <c r="N60" i="6"/>
  <c r="M60" i="6"/>
  <c r="L60" i="6"/>
  <c r="K60" i="6"/>
  <c r="J60" i="6"/>
  <c r="I60" i="6"/>
  <c r="H60" i="6"/>
  <c r="G60" i="6"/>
  <c r="F60" i="6"/>
  <c r="E60" i="6"/>
  <c r="R58" i="6"/>
  <c r="R54" i="6"/>
  <c r="Q54" i="6"/>
  <c r="D54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Q53" i="6" s="1"/>
  <c r="R52" i="6"/>
  <c r="Q52" i="6"/>
  <c r="D52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Q51" i="6" s="1"/>
  <c r="R50" i="6"/>
  <c r="Q50" i="6"/>
  <c r="D50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R48" i="6"/>
  <c r="Q48" i="6"/>
  <c r="D48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R46" i="6"/>
  <c r="Q46" i="6"/>
  <c r="D46" i="6"/>
  <c r="R45" i="6"/>
  <c r="Q45" i="6"/>
  <c r="D45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Q44" i="6" s="1"/>
  <c r="R43" i="6"/>
  <c r="Q43" i="6"/>
  <c r="R42" i="6"/>
  <c r="Q42" i="6"/>
  <c r="D42" i="6"/>
  <c r="R41" i="6"/>
  <c r="Q41" i="6"/>
  <c r="D41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R39" i="6"/>
  <c r="Q39" i="6"/>
  <c r="D39" i="6"/>
  <c r="R38" i="6"/>
  <c r="Q38" i="6"/>
  <c r="D38" i="6"/>
  <c r="R37" i="6"/>
  <c r="Q37" i="6"/>
  <c r="D37" i="6"/>
  <c r="R36" i="6"/>
  <c r="Q36" i="6"/>
  <c r="R35" i="6"/>
  <c r="Q35" i="6"/>
  <c r="R34" i="6"/>
  <c r="Q34" i="6"/>
  <c r="R33" i="6"/>
  <c r="Q33" i="6"/>
  <c r="D33" i="6"/>
  <c r="R32" i="6"/>
  <c r="Q32" i="6"/>
  <c r="D32" i="6"/>
  <c r="R31" i="6"/>
  <c r="P31" i="6"/>
  <c r="O31" i="6"/>
  <c r="N31" i="6"/>
  <c r="M31" i="6"/>
  <c r="L31" i="6"/>
  <c r="K31" i="6"/>
  <c r="J31" i="6"/>
  <c r="I31" i="6"/>
  <c r="H31" i="6"/>
  <c r="G31" i="6"/>
  <c r="F31" i="6"/>
  <c r="E31" i="6"/>
  <c r="R30" i="6"/>
  <c r="Q30" i="6"/>
  <c r="D30" i="6"/>
  <c r="R29" i="6"/>
  <c r="R28" i="6"/>
  <c r="P28" i="6"/>
  <c r="O28" i="6"/>
  <c r="M28" i="6"/>
  <c r="L28" i="6"/>
  <c r="J28" i="6"/>
  <c r="I28" i="6"/>
  <c r="G28" i="6"/>
  <c r="F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R19" i="6"/>
  <c r="E19" i="6"/>
  <c r="Q19" i="6" s="1"/>
  <c r="R18" i="6"/>
  <c r="E18" i="6"/>
  <c r="Q18" i="6" s="1"/>
  <c r="R17" i="6"/>
  <c r="H17" i="6"/>
  <c r="G17" i="6"/>
  <c r="F17" i="6"/>
  <c r="E17" i="6"/>
  <c r="Q17" i="6" s="1"/>
  <c r="R16" i="6"/>
  <c r="P16" i="6"/>
  <c r="O16" i="6"/>
  <c r="N16" i="6"/>
  <c r="M16" i="6"/>
  <c r="L16" i="6"/>
  <c r="K16" i="6"/>
  <c r="J16" i="6"/>
  <c r="I16" i="6"/>
  <c r="H16" i="6"/>
  <c r="G16" i="6"/>
  <c r="F16" i="6"/>
  <c r="E16" i="6"/>
  <c r="R15" i="6"/>
  <c r="G15" i="6"/>
  <c r="F15" i="6"/>
  <c r="E15" i="6"/>
  <c r="Q12" i="6"/>
  <c r="Q8" i="6"/>
  <c r="P7" i="6"/>
  <c r="O7" i="6"/>
  <c r="N7" i="6"/>
  <c r="M7" i="6"/>
  <c r="L7" i="6"/>
  <c r="K7" i="6"/>
  <c r="J7" i="6"/>
  <c r="I7" i="6"/>
  <c r="H7" i="6"/>
  <c r="G7" i="6"/>
  <c r="F7" i="6"/>
  <c r="E7" i="6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N5" i="6"/>
  <c r="M5" i="6"/>
  <c r="L5" i="6"/>
  <c r="K5" i="6"/>
  <c r="J5" i="6"/>
  <c r="I5" i="6"/>
  <c r="H5" i="6"/>
  <c r="G5" i="6"/>
  <c r="F5" i="6"/>
  <c r="E5" i="6"/>
  <c r="P4" i="6"/>
  <c r="O4" i="6"/>
  <c r="N4" i="6"/>
  <c r="M4" i="6"/>
  <c r="L4" i="6"/>
  <c r="K4" i="6"/>
  <c r="J4" i="6"/>
  <c r="I4" i="6"/>
  <c r="H4" i="6"/>
  <c r="G4" i="6"/>
  <c r="F4" i="6"/>
  <c r="E4" i="6"/>
  <c r="F19" i="4"/>
  <c r="F20" i="4"/>
  <c r="F21" i="4"/>
  <c r="F22" i="4"/>
  <c r="B21" i="4"/>
  <c r="B20" i="4"/>
  <c r="B19" i="4"/>
  <c r="B15" i="4"/>
  <c r="F15" i="4"/>
  <c r="F11" i="4"/>
  <c r="Q96" i="5" l="1"/>
  <c r="R96" i="5"/>
  <c r="Q101" i="5"/>
  <c r="R101" i="5"/>
  <c r="Q95" i="5"/>
  <c r="R95" i="5"/>
  <c r="Q97" i="5"/>
  <c r="R97" i="5"/>
  <c r="Q102" i="5"/>
  <c r="R102" i="5"/>
  <c r="Q107" i="5"/>
  <c r="R107" i="5" s="1"/>
  <c r="R56" i="6"/>
  <c r="Q20" i="6"/>
  <c r="Q31" i="6"/>
  <c r="Q49" i="6"/>
  <c r="F52" i="4" s="1"/>
  <c r="Q64" i="6"/>
  <c r="Q65" i="6"/>
  <c r="Q75" i="6"/>
  <c r="C112" i="5"/>
  <c r="F96" i="5"/>
  <c r="H96" i="5"/>
  <c r="J96" i="5"/>
  <c r="L96" i="5"/>
  <c r="N96" i="5"/>
  <c r="D96" i="5"/>
  <c r="G96" i="5"/>
  <c r="I96" i="5"/>
  <c r="K96" i="5"/>
  <c r="M96" i="5"/>
  <c r="O96" i="5"/>
  <c r="E96" i="5"/>
  <c r="F41" i="4"/>
  <c r="F101" i="5"/>
  <c r="H101" i="5"/>
  <c r="J101" i="5"/>
  <c r="L101" i="5"/>
  <c r="N101" i="5"/>
  <c r="D101" i="5"/>
  <c r="G101" i="5"/>
  <c r="I101" i="5"/>
  <c r="K101" i="5"/>
  <c r="M101" i="5"/>
  <c r="O101" i="5"/>
  <c r="E101" i="5"/>
  <c r="F45" i="4"/>
  <c r="F108" i="5"/>
  <c r="H108" i="5"/>
  <c r="J108" i="5"/>
  <c r="L108" i="5"/>
  <c r="N108" i="5"/>
  <c r="D108" i="5"/>
  <c r="G108" i="5"/>
  <c r="I108" i="5"/>
  <c r="K108" i="5"/>
  <c r="O108" i="5"/>
  <c r="M108" i="5"/>
  <c r="E108" i="5"/>
  <c r="F95" i="5"/>
  <c r="H95" i="5"/>
  <c r="J95" i="5"/>
  <c r="L95" i="5"/>
  <c r="N95" i="5"/>
  <c r="E95" i="5"/>
  <c r="D95" i="5"/>
  <c r="G95" i="5"/>
  <c r="I95" i="5"/>
  <c r="K95" i="5"/>
  <c r="M95" i="5"/>
  <c r="O95" i="5"/>
  <c r="F97" i="5"/>
  <c r="H97" i="5"/>
  <c r="J97" i="5"/>
  <c r="L97" i="5"/>
  <c r="N97" i="5"/>
  <c r="E97" i="5"/>
  <c r="G97" i="5"/>
  <c r="I97" i="5"/>
  <c r="K97" i="5"/>
  <c r="M97" i="5"/>
  <c r="O97" i="5"/>
  <c r="D97" i="5"/>
  <c r="F102" i="5"/>
  <c r="H102" i="5"/>
  <c r="J102" i="5"/>
  <c r="L102" i="5"/>
  <c r="N102" i="5"/>
  <c r="E102" i="5"/>
  <c r="G102" i="5"/>
  <c r="I102" i="5"/>
  <c r="K102" i="5"/>
  <c r="M102" i="5"/>
  <c r="O102" i="5"/>
  <c r="D102" i="5"/>
  <c r="F44" i="4"/>
  <c r="F107" i="5"/>
  <c r="H107" i="5"/>
  <c r="J107" i="5"/>
  <c r="L107" i="5"/>
  <c r="N107" i="5"/>
  <c r="E107" i="5"/>
  <c r="G107" i="5"/>
  <c r="I107" i="5"/>
  <c r="K107" i="5"/>
  <c r="M107" i="5"/>
  <c r="O107" i="5"/>
  <c r="D107" i="5"/>
  <c r="F46" i="4"/>
  <c r="Q4" i="6"/>
  <c r="E10" i="6"/>
  <c r="E29" i="6" s="1"/>
  <c r="E56" i="6" s="1"/>
  <c r="G10" i="6"/>
  <c r="I10" i="6"/>
  <c r="I29" i="6" s="1"/>
  <c r="K10" i="6"/>
  <c r="K29" i="6" s="1"/>
  <c r="M10" i="6"/>
  <c r="M29" i="6" s="1"/>
  <c r="O10" i="6"/>
  <c r="O29" i="6" s="1"/>
  <c r="O56" i="6" s="1"/>
  <c r="O62" i="6" s="1"/>
  <c r="O67" i="6" s="1"/>
  <c r="O76" i="6" s="1"/>
  <c r="Q7" i="6"/>
  <c r="Q73" i="6"/>
  <c r="D135" i="5"/>
  <c r="N135" i="5"/>
  <c r="L135" i="5"/>
  <c r="J135" i="5"/>
  <c r="H135" i="5"/>
  <c r="F135" i="5"/>
  <c r="O135" i="5"/>
  <c r="M135" i="5"/>
  <c r="K135" i="5"/>
  <c r="I135" i="5"/>
  <c r="G135" i="5"/>
  <c r="G150" i="5" s="1"/>
  <c r="E135" i="5"/>
  <c r="P176" i="5"/>
  <c r="Q176" i="5" s="1"/>
  <c r="P155" i="5"/>
  <c r="Q155" i="5" s="1"/>
  <c r="R155" i="5" s="1"/>
  <c r="O46" i="5"/>
  <c r="M46" i="5"/>
  <c r="K46" i="5"/>
  <c r="I46" i="5"/>
  <c r="G46" i="5"/>
  <c r="E46" i="5"/>
  <c r="N46" i="5"/>
  <c r="L46" i="5"/>
  <c r="J46" i="5"/>
  <c r="H46" i="5"/>
  <c r="F46" i="5"/>
  <c r="D46" i="5"/>
  <c r="P47" i="5"/>
  <c r="Q47" i="5" s="1"/>
  <c r="R47" i="5" s="1"/>
  <c r="Q20" i="10"/>
  <c r="D18" i="8"/>
  <c r="D16" i="8"/>
  <c r="D19" i="8"/>
  <c r="D17" i="8"/>
  <c r="B85" i="8"/>
  <c r="B87" i="8" s="1"/>
  <c r="D54" i="8"/>
  <c r="U10" i="8" s="1"/>
  <c r="U14" i="8" s="1"/>
  <c r="D53" i="8"/>
  <c r="O10" i="8" s="1"/>
  <c r="B62" i="8"/>
  <c r="B63" i="8" s="1"/>
  <c r="B64" i="8" s="1"/>
  <c r="B65" i="8" s="1"/>
  <c r="B81" i="8"/>
  <c r="B82" i="8" s="1"/>
  <c r="B83" i="8" s="1"/>
  <c r="B84" i="8" s="1"/>
  <c r="F70" i="4"/>
  <c r="P148" i="5"/>
  <c r="P150" i="5" s="1"/>
  <c r="F59" i="4"/>
  <c r="G29" i="6"/>
  <c r="G56" i="6" s="1"/>
  <c r="G62" i="6" s="1"/>
  <c r="G67" i="6" s="1"/>
  <c r="G76" i="6" s="1"/>
  <c r="G81" i="6" s="1"/>
  <c r="H80" i="6" s="1"/>
  <c r="Q5" i="6"/>
  <c r="F10" i="6"/>
  <c r="H10" i="6"/>
  <c r="J10" i="6"/>
  <c r="L10" i="6"/>
  <c r="N10" i="6"/>
  <c r="P10" i="6"/>
  <c r="Q6" i="6"/>
  <c r="Q15" i="6"/>
  <c r="Q16" i="6"/>
  <c r="Q28" i="6"/>
  <c r="Q40" i="6"/>
  <c r="F42" i="4" s="1"/>
  <c r="Q47" i="6"/>
  <c r="Q60" i="6"/>
  <c r="Q69" i="6"/>
  <c r="K150" i="5" l="1"/>
  <c r="K186" i="5" s="1"/>
  <c r="O150" i="5"/>
  <c r="O186" i="5" s="1"/>
  <c r="H150" i="5"/>
  <c r="H186" i="5" s="1"/>
  <c r="L150" i="5"/>
  <c r="L186" i="5" s="1"/>
  <c r="D150" i="5"/>
  <c r="D186" i="5" s="1"/>
  <c r="E150" i="5"/>
  <c r="E186" i="5" s="1"/>
  <c r="I150" i="5"/>
  <c r="I186" i="5" s="1"/>
  <c r="M150" i="5"/>
  <c r="M186" i="5" s="1"/>
  <c r="F150" i="5"/>
  <c r="F186" i="5" s="1"/>
  <c r="J150" i="5"/>
  <c r="J186" i="5" s="1"/>
  <c r="N150" i="5"/>
  <c r="N186" i="5" s="1"/>
  <c r="Q150" i="5"/>
  <c r="R150" i="5" s="1"/>
  <c r="Q148" i="5"/>
  <c r="E62" i="6"/>
  <c r="E67" i="6" s="1"/>
  <c r="G186" i="5"/>
  <c r="M56" i="6"/>
  <c r="M62" i="6" s="1"/>
  <c r="M67" i="6" s="1"/>
  <c r="M76" i="6" s="1"/>
  <c r="M58" i="6"/>
  <c r="I56" i="6"/>
  <c r="I62" i="6" s="1"/>
  <c r="I67" i="6" s="1"/>
  <c r="I76" i="6" s="1"/>
  <c r="I58" i="6"/>
  <c r="O58" i="6"/>
  <c r="K58" i="6"/>
  <c r="G58" i="6"/>
  <c r="I115" i="5"/>
  <c r="M115" i="5"/>
  <c r="F115" i="5"/>
  <c r="N115" i="5"/>
  <c r="D115" i="5"/>
  <c r="E115" i="5"/>
  <c r="K56" i="6"/>
  <c r="K62" i="6" s="1"/>
  <c r="K67" i="6" s="1"/>
  <c r="K76" i="6" s="1"/>
  <c r="E58" i="6"/>
  <c r="G115" i="5"/>
  <c r="K115" i="5"/>
  <c r="O115" i="5"/>
  <c r="J115" i="5"/>
  <c r="H115" i="5"/>
  <c r="L115" i="5"/>
  <c r="F60" i="5"/>
  <c r="J60" i="5"/>
  <c r="N60" i="5"/>
  <c r="E60" i="5"/>
  <c r="I60" i="5"/>
  <c r="M60" i="5"/>
  <c r="D60" i="5"/>
  <c r="H60" i="5"/>
  <c r="L60" i="5"/>
  <c r="G60" i="5"/>
  <c r="K60" i="5"/>
  <c r="O60" i="5"/>
  <c r="F28" i="4"/>
  <c r="P26" i="5"/>
  <c r="R22" i="5"/>
  <c r="P46" i="5"/>
  <c r="D89" i="8"/>
  <c r="D92" i="8"/>
  <c r="D91" i="8"/>
  <c r="D90" i="8"/>
  <c r="O14" i="8"/>
  <c r="W10" i="8"/>
  <c r="B66" i="8"/>
  <c r="B68" i="8" s="1"/>
  <c r="P29" i="6"/>
  <c r="L29" i="6"/>
  <c r="H29" i="6"/>
  <c r="N29" i="6"/>
  <c r="J29" i="6"/>
  <c r="F29" i="6"/>
  <c r="Q10" i="6"/>
  <c r="P186" i="5" l="1"/>
  <c r="Q186" i="5" s="1"/>
  <c r="R186" i="5" s="1"/>
  <c r="F16" i="4"/>
  <c r="Q26" i="5"/>
  <c r="R26" i="5" s="1"/>
  <c r="F18" i="4"/>
  <c r="Q46" i="5"/>
  <c r="R46" i="5" s="1"/>
  <c r="F10" i="4"/>
  <c r="Q29" i="6"/>
  <c r="P60" i="5"/>
  <c r="F17" i="4"/>
  <c r="D70" i="8"/>
  <c r="P11" i="8" s="1"/>
  <c r="D73" i="8"/>
  <c r="V12" i="8" s="1"/>
  <c r="W12" i="8" s="1"/>
  <c r="D72" i="8"/>
  <c r="V11" i="8" s="1"/>
  <c r="V14" i="8" s="1"/>
  <c r="D71" i="8"/>
  <c r="T11" i="8" s="1"/>
  <c r="T14" i="8" s="1"/>
  <c r="F56" i="6"/>
  <c r="F58" i="6"/>
  <c r="J58" i="6"/>
  <c r="J56" i="6"/>
  <c r="J62" i="6" s="1"/>
  <c r="J67" i="6" s="1"/>
  <c r="J76" i="6" s="1"/>
  <c r="N56" i="6"/>
  <c r="N62" i="6" s="1"/>
  <c r="N67" i="6" s="1"/>
  <c r="N76" i="6" s="1"/>
  <c r="N58" i="6"/>
  <c r="E76" i="6"/>
  <c r="H58" i="6"/>
  <c r="H56" i="6"/>
  <c r="H62" i="6" s="1"/>
  <c r="H67" i="6" s="1"/>
  <c r="H76" i="6" s="1"/>
  <c r="H81" i="6" s="1"/>
  <c r="I80" i="6" s="1"/>
  <c r="I81" i="6" s="1"/>
  <c r="J80" i="6" s="1"/>
  <c r="L58" i="6"/>
  <c r="L56" i="6"/>
  <c r="L62" i="6" s="1"/>
  <c r="L67" i="6" s="1"/>
  <c r="L76" i="6" s="1"/>
  <c r="P58" i="6"/>
  <c r="P56" i="6"/>
  <c r="P62" i="6" s="1"/>
  <c r="P67" i="6" s="1"/>
  <c r="P76" i="6" s="1"/>
  <c r="F23" i="4" l="1"/>
  <c r="Q60" i="5"/>
  <c r="R60" i="5" s="1"/>
  <c r="P14" i="8"/>
  <c r="W11" i="8"/>
  <c r="W14" i="8" s="1"/>
  <c r="J81" i="6"/>
  <c r="K80" i="6" s="1"/>
  <c r="K81" i="6" s="1"/>
  <c r="L80" i="6" s="1"/>
  <c r="L81" i="6" s="1"/>
  <c r="M80" i="6" s="1"/>
  <c r="M81" i="6" s="1"/>
  <c r="N80" i="6" s="1"/>
  <c r="N81" i="6" s="1"/>
  <c r="O80" i="6" s="1"/>
  <c r="O81" i="6" s="1"/>
  <c r="P80" i="6" s="1"/>
  <c r="P81" i="6" s="1"/>
  <c r="P85" i="6" s="1"/>
  <c r="Q58" i="6"/>
  <c r="F62" i="6"/>
  <c r="Q56" i="6"/>
  <c r="F67" i="6" l="1"/>
  <c r="Q62" i="6"/>
  <c r="F76" i="6" l="1"/>
  <c r="Q76" i="6" s="1"/>
  <c r="Q67" i="6"/>
  <c r="H68" i="5" l="1"/>
  <c r="H70" i="5" s="1"/>
  <c r="H90" i="5" s="1"/>
  <c r="G68" i="5"/>
  <c r="G70" i="5" s="1"/>
  <c r="G90" i="5" s="1"/>
  <c r="N68" i="5"/>
  <c r="N70" i="5" s="1"/>
  <c r="N90" i="5" s="1"/>
  <c r="P68" i="5"/>
  <c r="M68" i="5"/>
  <c r="M70" i="5" s="1"/>
  <c r="M90" i="5" s="1"/>
  <c r="O68" i="5"/>
  <c r="O70" i="5" s="1"/>
  <c r="O90" i="5" s="1"/>
  <c r="E68" i="5"/>
  <c r="E70" i="5" s="1"/>
  <c r="E90" i="5" s="1"/>
  <c r="L68" i="5"/>
  <c r="L70" i="5" s="1"/>
  <c r="L90" i="5" s="1"/>
  <c r="K68" i="5"/>
  <c r="K70" i="5" s="1"/>
  <c r="K90" i="5" s="1"/>
  <c r="I68" i="5"/>
  <c r="I70" i="5" s="1"/>
  <c r="I90" i="5" s="1"/>
  <c r="J68" i="5"/>
  <c r="J70" i="5" s="1"/>
  <c r="J90" i="5" s="1"/>
  <c r="D68" i="5"/>
  <c r="D70" i="5" s="1"/>
  <c r="D90" i="5" s="1"/>
  <c r="F68" i="5"/>
  <c r="F70" i="5" s="1"/>
  <c r="F90" i="5" s="1"/>
  <c r="J81" i="5"/>
  <c r="O81" i="5"/>
  <c r="E81" i="5"/>
  <c r="L81" i="5"/>
  <c r="F81" i="5"/>
  <c r="H81" i="5"/>
  <c r="G81" i="5"/>
  <c r="N81" i="5"/>
  <c r="K81" i="5"/>
  <c r="I81" i="5"/>
  <c r="M81" i="5"/>
  <c r="F29" i="4"/>
  <c r="F30" i="4"/>
  <c r="F32" i="4"/>
  <c r="F33" i="4"/>
  <c r="D81" i="5"/>
  <c r="P90" i="5" l="1"/>
  <c r="Q90" i="5" s="1"/>
  <c r="R90" i="5" s="1"/>
  <c r="P70" i="5"/>
  <c r="Q70" i="5" s="1"/>
  <c r="R70" i="5" s="1"/>
  <c r="Q68" i="5"/>
  <c r="F31" i="4"/>
  <c r="Q87" i="5"/>
  <c r="R87" i="5" s="1"/>
  <c r="P99" i="5"/>
  <c r="Q99" i="5" s="1"/>
  <c r="R99" i="5" s="1"/>
  <c r="F40" i="4" l="1"/>
  <c r="D112" i="5"/>
  <c r="O112" i="5"/>
  <c r="L112" i="5"/>
  <c r="M112" i="5"/>
  <c r="E112" i="5"/>
  <c r="J112" i="5"/>
  <c r="G112" i="5"/>
  <c r="H112" i="5"/>
  <c r="I112" i="5"/>
  <c r="N112" i="5"/>
  <c r="K112" i="5"/>
  <c r="P110" i="5"/>
  <c r="F112" i="5"/>
  <c r="P112" i="5" l="1"/>
  <c r="Q112" i="5" s="1"/>
  <c r="R112" i="5" s="1"/>
  <c r="Q110" i="5"/>
  <c r="R110" i="5" s="1"/>
  <c r="M118" i="5" l="1"/>
  <c r="M121" i="5" s="1"/>
  <c r="J118" i="5"/>
  <c r="J121" i="5" s="1"/>
  <c r="K118" i="5"/>
  <c r="K121" i="5" s="1"/>
  <c r="G118" i="5"/>
  <c r="G121" i="5" s="1"/>
  <c r="H118" i="5"/>
  <c r="H121" i="5" s="1"/>
  <c r="L118" i="5"/>
  <c r="L121" i="5" s="1"/>
  <c r="N118" i="5"/>
  <c r="N121" i="5" s="1"/>
  <c r="I118" i="5"/>
  <c r="I121" i="5" s="1"/>
  <c r="E118" i="5"/>
  <c r="E121" i="5" s="1"/>
  <c r="O118" i="5"/>
  <c r="O121" i="5" s="1"/>
  <c r="F118" i="5"/>
  <c r="F121" i="5" s="1"/>
  <c r="D118" i="5"/>
  <c r="Q118" i="5" l="1"/>
  <c r="R118" i="5" s="1"/>
  <c r="C121" i="5"/>
  <c r="F53" i="4"/>
  <c r="C128" i="5" l="1"/>
  <c r="C131" i="5" l="1"/>
  <c r="C188" i="5" l="1"/>
  <c r="D91" i="5" l="1"/>
  <c r="O91" i="5" l="1"/>
  <c r="O128" i="5" s="1"/>
  <c r="O131" i="5" s="1"/>
  <c r="O188" i="5" s="1"/>
  <c r="O208" i="5" s="1"/>
  <c r="K91" i="5"/>
  <c r="K128" i="5" s="1"/>
  <c r="K131" i="5" s="1"/>
  <c r="K188" i="5" s="1"/>
  <c r="K208" i="5" s="1"/>
  <c r="N91" i="5"/>
  <c r="N128" i="5" s="1"/>
  <c r="N131" i="5" s="1"/>
  <c r="N188" i="5" s="1"/>
  <c r="N208" i="5" s="1"/>
  <c r="F91" i="5"/>
  <c r="F128" i="5" s="1"/>
  <c r="F131" i="5" s="1"/>
  <c r="F188" i="5" s="1"/>
  <c r="F208" i="5" s="1"/>
  <c r="G91" i="5"/>
  <c r="G128" i="5" s="1"/>
  <c r="G131" i="5" s="1"/>
  <c r="G188" i="5" s="1"/>
  <c r="G208" i="5" s="1"/>
  <c r="I91" i="5"/>
  <c r="I128" i="5" s="1"/>
  <c r="I131" i="5" s="1"/>
  <c r="I188" i="5" s="1"/>
  <c r="I208" i="5" s="1"/>
  <c r="M91" i="5"/>
  <c r="M128" i="5" s="1"/>
  <c r="M131" i="5" s="1"/>
  <c r="M188" i="5" s="1"/>
  <c r="M208" i="5" s="1"/>
  <c r="H91" i="5"/>
  <c r="H128" i="5" s="1"/>
  <c r="H131" i="5" s="1"/>
  <c r="H188" i="5" s="1"/>
  <c r="H208" i="5" s="1"/>
  <c r="E91" i="5"/>
  <c r="E128" i="5" s="1"/>
  <c r="E131" i="5" s="1"/>
  <c r="E188" i="5" s="1"/>
  <c r="J91" i="5"/>
  <c r="J128" i="5" s="1"/>
  <c r="J131" i="5" s="1"/>
  <c r="J188" i="5" s="1"/>
  <c r="J208" i="5" s="1"/>
  <c r="P82" i="5"/>
  <c r="L91" i="5"/>
  <c r="L128" i="5" s="1"/>
  <c r="L131" i="5" s="1"/>
  <c r="L188" i="5" s="1"/>
  <c r="L208" i="5" s="1"/>
  <c r="P91" i="5" l="1"/>
  <c r="Q82" i="5"/>
  <c r="R82" i="5" s="1"/>
  <c r="Q91" i="5"/>
  <c r="R91" i="5" s="1"/>
  <c r="E208" i="5"/>
  <c r="Q119" i="5"/>
  <c r="R119" i="5" s="1"/>
  <c r="D121" i="5"/>
  <c r="D128" i="5" s="1"/>
  <c r="D131" i="5" s="1"/>
  <c r="D188" i="5" s="1"/>
  <c r="P121" i="5"/>
  <c r="Q121" i="5" s="1"/>
  <c r="R121" i="5" s="1"/>
  <c r="D208" i="5" l="1"/>
  <c r="D191" i="5"/>
  <c r="E190" i="5" s="1"/>
  <c r="E191" i="5" s="1"/>
  <c r="F190" i="5" s="1"/>
  <c r="F191" i="5" s="1"/>
  <c r="G190" i="5" s="1"/>
  <c r="G191" i="5" s="1"/>
  <c r="H190" i="5" s="1"/>
  <c r="H191" i="5" s="1"/>
  <c r="I190" i="5" s="1"/>
  <c r="I191" i="5" s="1"/>
  <c r="J190" i="5" s="1"/>
  <c r="J191" i="5" s="1"/>
  <c r="K190" i="5" s="1"/>
  <c r="K191" i="5" s="1"/>
  <c r="L190" i="5" s="1"/>
  <c r="L191" i="5" s="1"/>
  <c r="M190" i="5" s="1"/>
  <c r="M191" i="5" s="1"/>
  <c r="N190" i="5" s="1"/>
  <c r="N191" i="5" s="1"/>
  <c r="O190" i="5" s="1"/>
  <c r="O191" i="5" s="1"/>
  <c r="P128" i="5"/>
  <c r="Q128" i="5" l="1"/>
  <c r="R128" i="5" s="1"/>
  <c r="P131" i="5"/>
  <c r="Q131" i="5" l="1"/>
  <c r="R131" i="5" s="1"/>
  <c r="P188" i="5"/>
  <c r="P208" i="5" l="1"/>
  <c r="Q188" i="5"/>
  <c r="R188" i="5" s="1"/>
</calcChain>
</file>

<file path=xl/sharedStrings.xml><?xml version="1.0" encoding="utf-8"?>
<sst xmlns="http://schemas.openxmlformats.org/spreadsheetml/2006/main" count="960" uniqueCount="519">
  <si>
    <t>Variance</t>
  </si>
  <si>
    <t>4000-0000</t>
  </si>
  <si>
    <t>    INCOME</t>
  </si>
  <si>
    <t>4100-0000</t>
  </si>
  <si>
    <t> RENT INCOME</t>
  </si>
  <si>
    <t>4500-0000</t>
  </si>
  <si>
    <t> RENTAL INCOME</t>
  </si>
  <si>
    <t>4705-0000</t>
  </si>
  <si>
    <t> TENANT IMPROVEMENT</t>
  </si>
  <si>
    <t>4990-0000</t>
  </si>
  <si>
    <t>  TOTAL RENT INCOME</t>
  </si>
  <si>
    <t>5100-0000</t>
  </si>
  <si>
    <t> EXPENSE REIMB.-TENANT</t>
  </si>
  <si>
    <t>5135-0000</t>
  </si>
  <si>
    <t> REIMB. - UTILITIES</t>
  </si>
  <si>
    <t>5200-0000</t>
  </si>
  <si>
    <t> CAM ESTIMATE</t>
  </si>
  <si>
    <t>5210-0000</t>
  </si>
  <si>
    <t> INSURANCE ESTIMATE</t>
  </si>
  <si>
    <t>5220-0000</t>
  </si>
  <si>
    <t> TAXES ESTIMATE</t>
  </si>
  <si>
    <t>5300-0000</t>
  </si>
  <si>
    <t> CAM RECOVERY</t>
  </si>
  <si>
    <t>5310-0000</t>
  </si>
  <si>
    <t> INSURANCE RECOVERY</t>
  </si>
  <si>
    <t>5320-0000</t>
  </si>
  <si>
    <t> TAX RECOVERY</t>
  </si>
  <si>
    <t>5455-0000</t>
  </si>
  <si>
    <t> LATE FEES</t>
  </si>
  <si>
    <t>5490-0000</t>
  </si>
  <si>
    <t>    TOTAL EXPENSE REIMB.-TENANT</t>
  </si>
  <si>
    <t>5600-0000</t>
  </si>
  <si>
    <t>    OTHER INCOME</t>
  </si>
  <si>
    <t>5630-0000</t>
  </si>
  <si>
    <t> INCOME - OTHERS</t>
  </si>
  <si>
    <t>5700-0000</t>
  </si>
  <si>
    <t> INTEREST INCOME- BANK DEPOSIT</t>
  </si>
  <si>
    <t>5890-0000</t>
  </si>
  <si>
    <t>  TOTAL OTHER INCOME</t>
  </si>
  <si>
    <t>5990-0000</t>
  </si>
  <si>
    <t> TOTAL INCOME</t>
  </si>
  <si>
    <t>6000-0000</t>
  </si>
  <si>
    <t>    EXPENSES</t>
  </si>
  <si>
    <t>6200-0000</t>
  </si>
  <si>
    <t> CAM - EXPENSES</t>
  </si>
  <si>
    <t>6215-0000</t>
  </si>
  <si>
    <t> CAM-CLEANING MAINTENANCE</t>
  </si>
  <si>
    <t>6220-0000</t>
  </si>
  <si>
    <t> CAM-PARKING LOT MAINTENANCE</t>
  </si>
  <si>
    <t>6240-0000</t>
  </si>
  <si>
    <t> CAM - SNOW REMOVAL</t>
  </si>
  <si>
    <t>6265-0000</t>
  </si>
  <si>
    <t> CAM-SPRINKLER &amp; ALARM</t>
  </si>
  <si>
    <t>6270-0000</t>
  </si>
  <si>
    <t> CAM - INSURANCE</t>
  </si>
  <si>
    <t>6275-0000</t>
  </si>
  <si>
    <t> CAM - ELECTRICITY</t>
  </si>
  <si>
    <t>6285-0000</t>
  </si>
  <si>
    <t> CAM - WATER &amp; SEWER</t>
  </si>
  <si>
    <t>6291-0000</t>
  </si>
  <si>
    <t>TOTAL CAM - EXPENSES</t>
  </si>
  <si>
    <t>6292-0000</t>
  </si>
  <si>
    <t>DIRECT EXPENSE</t>
  </si>
  <si>
    <t>6425-0000</t>
  </si>
  <si>
    <t> REPAIRS - EXTERIORS</t>
  </si>
  <si>
    <t>6445-0000</t>
  </si>
  <si>
    <t> RUBBISH REMOVAL, Recycling</t>
  </si>
  <si>
    <t>6465-0000</t>
  </si>
  <si>
    <t> LANDSCAPING &amp; Parking Lot</t>
  </si>
  <si>
    <t>6475-0000</t>
  </si>
  <si>
    <t> INSURANCE -others</t>
  </si>
  <si>
    <t>6500-0000</t>
  </si>
  <si>
    <t> TAXES - REAL ESTATE</t>
  </si>
  <si>
    <t>6505-0000</t>
  </si>
  <si>
    <t> TAXES - VAULT,OTHERS</t>
  </si>
  <si>
    <t>6520-0000</t>
  </si>
  <si>
    <t> LICENSES &amp; PERMITS</t>
  </si>
  <si>
    <t>6545-0000</t>
  </si>
  <si>
    <t> WATER &amp; SEWER</t>
  </si>
  <si>
    <t>6555-0000</t>
  </si>
  <si>
    <t> MESSENGER &amp; DELIVERY</t>
  </si>
  <si>
    <t>6560-0000</t>
  </si>
  <si>
    <t> AUTO &amp; LOCAL FARE</t>
  </si>
  <si>
    <t>6562-0000</t>
  </si>
  <si>
    <t> CAR INSURANCE</t>
  </si>
  <si>
    <t>6605-0000</t>
  </si>
  <si>
    <t> PROFESSIONAL FEES-CONSULTANT</t>
  </si>
  <si>
    <t>6610-0000</t>
  </si>
  <si>
    <t> PROFESSIONAL FEES- LEGAL</t>
  </si>
  <si>
    <t>6615-0000</t>
  </si>
  <si>
    <t> PROFESSIONAL FEES- ACCTG.</t>
  </si>
  <si>
    <t>6625-0000</t>
  </si>
  <si>
    <t> BROKER'S COMMISSION</t>
  </si>
  <si>
    <t>6990-0000</t>
  </si>
  <si>
    <t>  TOTAL DIRECT EXPENSES</t>
  </si>
  <si>
    <t>7000-0000</t>
  </si>
  <si>
    <t> OFFICE &amp; MGMT EXPENSES</t>
  </si>
  <si>
    <t>7200-0000</t>
  </si>
  <si>
    <t> OFFICE- CAR INSURANCE</t>
  </si>
  <si>
    <t>7215-0000</t>
  </si>
  <si>
    <t> OFFICE-COMPUTER EXPENSES</t>
  </si>
  <si>
    <t>7405-0000</t>
  </si>
  <si>
    <t> OFFICE-CHARITABLE DONATIONS</t>
  </si>
  <si>
    <t>7425-0000</t>
  </si>
  <si>
    <t> OFFICE-POSTAGE</t>
  </si>
  <si>
    <t>7990-0000</t>
  </si>
  <si>
    <t> TOTAL OFFICE &amp; MGMT EXPENSES</t>
  </si>
  <si>
    <t>8500-0000</t>
  </si>
  <si>
    <t> INTEREST EXPENSE</t>
  </si>
  <si>
    <t>8505-0000</t>
  </si>
  <si>
    <t> INTEREST EXPENSE-MTGE #1</t>
  </si>
  <si>
    <t>8590-0000</t>
  </si>
  <si>
    <t>  TOTAL INTEREST EXPENSE</t>
  </si>
  <si>
    <t>8990-0000</t>
  </si>
  <si>
    <t> TOTAL EXPENSES</t>
  </si>
  <si>
    <t>9090-0000</t>
  </si>
  <si>
    <t>  NET INCOME</t>
  </si>
  <si>
    <t>    ADJUSTMENTS</t>
  </si>
  <si>
    <t>1145-0000</t>
  </si>
  <si>
    <t> ESCROW - R.E. TAX</t>
  </si>
  <si>
    <t>1190-0000</t>
  </si>
  <si>
    <t>  TOTAL CASH</t>
  </si>
  <si>
    <t>1191-0000</t>
  </si>
  <si>
    <t>RECEIVABLES</t>
  </si>
  <si>
    <t>1301-0000</t>
  </si>
  <si>
    <t> TENANT RENT RECEIVABLE</t>
  </si>
  <si>
    <t>1375-0000</t>
  </si>
  <si>
    <t> PREPAID TAXES</t>
  </si>
  <si>
    <t>1391-0000</t>
  </si>
  <si>
    <t>TOTAL RECEIVABLES</t>
  </si>
  <si>
    <t>1600-0000</t>
  </si>
  <si>
    <t>   PROPERTY</t>
  </si>
  <si>
    <t>1720-0000</t>
  </si>
  <si>
    <t> BUILDING IMPROVEMENT</t>
  </si>
  <si>
    <t>1800-0000</t>
  </si>
  <si>
    <t> DEFERRED COMM EXPENSE</t>
  </si>
  <si>
    <t>1890-0000</t>
  </si>
  <si>
    <t>  TOTAL PROPERTY</t>
  </si>
  <si>
    <t>1990-0000</t>
  </si>
  <si>
    <t> TOTAL ASSETS</t>
  </si>
  <si>
    <t>2010-0000</t>
  </si>
  <si>
    <t> LIABILITIES</t>
  </si>
  <si>
    <t>2200-0000</t>
  </si>
  <si>
    <t> ACCOUNTS PAYABLE - TRADE</t>
  </si>
  <si>
    <t>2220-0000</t>
  </si>
  <si>
    <t> PREPAID RENT</t>
  </si>
  <si>
    <t>2999-0000</t>
  </si>
  <si>
    <t>TOTAL LIABILITIES</t>
  </si>
  <si>
    <t>3005-0000</t>
  </si>
  <si>
    <t> CAPITAL-OWNER</t>
  </si>
  <si>
    <t>3117-0000</t>
  </si>
  <si>
    <t>3119-0000</t>
  </si>
  <si>
    <t>3120-0000</t>
  </si>
  <si>
    <t>3399-0001</t>
  </si>
  <si>
    <t> TOTAL OWNER CAPITAL</t>
  </si>
  <si>
    <t>3399-0005</t>
  </si>
  <si>
    <t> OWNERS DRAWING</t>
  </si>
  <si>
    <t>3417-0000</t>
  </si>
  <si>
    <t>3800-0000</t>
  </si>
  <si>
    <t> TOTAL OWNER DRAWING</t>
  </si>
  <si>
    <t>    TOTAL ADJUSTMENTS</t>
  </si>
  <si>
    <t>    CASH FLOW</t>
  </si>
  <si>
    <t>JS RUTHERFORD LLC (rut)</t>
  </si>
  <si>
    <t>Difference</t>
  </si>
  <si>
    <t>Total Cash</t>
  </si>
  <si>
    <t>Total</t>
  </si>
  <si>
    <t>CAM - LANDSCAPING</t>
  </si>
  <si>
    <t>CAM - BUILDING SUPPLIES</t>
  </si>
  <si>
    <t>CAM - INSURANCE</t>
  </si>
  <si>
    <t>CAM - ELECTRICITY</t>
  </si>
  <si>
    <t>CAM - WATER &amp; SEWER</t>
  </si>
  <si>
    <t>MESSENGER &amp; DELIVERY</t>
  </si>
  <si>
    <t>PROFESSIONAL FEES - CONSULTANT</t>
  </si>
  <si>
    <t>ESCROW - OTHERS</t>
  </si>
  <si>
    <t>1155-0000</t>
  </si>
  <si>
    <t>CASH - OTHERS</t>
  </si>
  <si>
    <t>1136-0000</t>
  </si>
  <si>
    <t>CASH - CERTIFICATE OF DEPOSIT</t>
  </si>
  <si>
    <t>1130-0000</t>
  </si>
  <si>
    <t>CASH - MONEY MARKET</t>
  </si>
  <si>
    <t>1125-0000</t>
  </si>
  <si>
    <t>CASH - CHECKING #1</t>
  </si>
  <si>
    <t>1120-0000</t>
  </si>
  <si>
    <t>Ending Balance</t>
  </si>
  <si>
    <t>Beginning Balance</t>
  </si>
  <si>
    <t>Year to Date</t>
  </si>
  <si>
    <t>Period to Date</t>
  </si>
  <si>
    <t> TENANT SECURITY PAYABLE</t>
  </si>
  <si>
    <t>2250-0000</t>
  </si>
  <si>
    <t> ELECTRICITY</t>
  </si>
  <si>
    <t>6535-0000</t>
  </si>
  <si>
    <t> CAM - BUILDING SUPPLIES</t>
  </si>
  <si>
    <t>6255-0000</t>
  </si>
  <si>
    <t> CAM - LANDSCAPING</t>
  </si>
  <si>
    <t>6211-0000</t>
  </si>
  <si>
    <t>BUDGET TEMPLATE EXAMPLE</t>
  </si>
  <si>
    <t>ACTUAL JAN-MAR 2016</t>
  </si>
  <si>
    <t>2016 PROJECTED BUDGET</t>
  </si>
  <si>
    <t>2015 ACTUAL</t>
  </si>
  <si>
    <t>2015 BUDGET</t>
  </si>
  <si>
    <t>2016 OPERATING BUDGET - RUTHERFORD</t>
  </si>
  <si>
    <t>Base</t>
  </si>
  <si>
    <t>Total 2016</t>
  </si>
  <si>
    <t>Comments</t>
  </si>
  <si>
    <t>Total Base Rent</t>
  </si>
  <si>
    <t>RUT</t>
  </si>
  <si>
    <t>Total CAM Revenue</t>
  </si>
  <si>
    <t>Total RETAX Revenue</t>
  </si>
  <si>
    <t>Total Insurance Revenue</t>
  </si>
  <si>
    <t>Total Other Extra Revenue</t>
  </si>
  <si>
    <t>5230-0000</t>
  </si>
  <si>
    <t>Total Tenant Revenue</t>
  </si>
  <si>
    <t>Release of funds</t>
  </si>
  <si>
    <t>Category of Expense</t>
  </si>
  <si>
    <t>Property</t>
  </si>
  <si>
    <t>Account Code</t>
  </si>
  <si>
    <t>CAM - CLEANING</t>
  </si>
  <si>
    <t>CAM - PARKING LOT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</si>
  <si>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</si>
  <si>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</si>
  <si>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</si>
  <si>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</si>
  <si>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</si>
  <si>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</si>
  <si>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</si>
  <si>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CAM - RUBBISH</t>
  </si>
  <si>
    <t>6245-0000</t>
  </si>
  <si>
    <t>CAM - LICENCES &amp; PERMITS</t>
  </si>
  <si>
    <t>6250-0000</t>
  </si>
  <si>
    <t>CAM - ALARM &amp; SPRINKLER</t>
  </si>
  <si>
    <t>CAM - MANAGEMENT FEES</t>
  </si>
  <si>
    <t>6290-0000</t>
  </si>
  <si>
    <t>PLUMBING MAINTENANCE</t>
  </si>
  <si>
    <t>6400-0000</t>
  </si>
  <si>
    <t>REPAIRS - EXTERIORS</t>
  </si>
  <si>
    <t>REPAIRS HVAC, BOILER &amp; EQUIPMENT</t>
  </si>
  <si>
    <t>6430-0000</t>
  </si>
  <si>
    <t>SECURITY SERVICES - OUTSIDE</t>
  </si>
  <si>
    <t>6450-0000</t>
  </si>
  <si>
    <t>TAXES - REAL ESTATE</t>
  </si>
  <si>
    <t>TAXES - OTHER</t>
  </si>
  <si>
    <t>LICENCES &amp; PERMITS</t>
  </si>
  <si>
    <t>FINES &amp; VIOLATIONS</t>
  </si>
  <si>
    <t>6525-0000</t>
  </si>
  <si>
    <t>ADTERTISING EXPENSES</t>
  </si>
  <si>
    <t>6530-0000</t>
  </si>
  <si>
    <t>TELEPHONE</t>
  </si>
  <si>
    <t>6550-0000</t>
  </si>
  <si>
    <t>BANK CHARGES</t>
  </si>
  <si>
    <t>6565-0000</t>
  </si>
  <si>
    <t>PROFESSIONAL &amp; LEGAL FEES</t>
  </si>
  <si>
    <t>PROFESSIONAL ACCOUNTING FEES</t>
  </si>
  <si>
    <t>BROKERS COMMISSION</t>
  </si>
  <si>
    <t>CHARITABLE</t>
  </si>
  <si>
    <t>6630-0000</t>
  </si>
  <si>
    <t>OFFICE AUTO &amp; LOCAL FARE</t>
  </si>
  <si>
    <t>7120-0000</t>
  </si>
  <si>
    <t>OFFICE CAR INSURANCE</t>
  </si>
  <si>
    <t>OFFICE COMPUTER EXPENSE</t>
  </si>
  <si>
    <t>OFFICE HOLIDAY EXPENSE</t>
  </si>
  <si>
    <t>7315-0000</t>
  </si>
  <si>
    <t>OFFICE CHARITABLE</t>
  </si>
  <si>
    <t>OFFICE SUPPLIES</t>
  </si>
  <si>
    <t>7420-0000</t>
  </si>
  <si>
    <t>OFFICE POSTAGE</t>
  </si>
  <si>
    <t>MISCELLANEOUS</t>
  </si>
  <si>
    <t>Total Operating Expenses</t>
  </si>
  <si>
    <t>CAM Only</t>
  </si>
  <si>
    <t>Reserves/Contingency</t>
  </si>
  <si>
    <t>Net Operating Income</t>
  </si>
  <si>
    <t>Principal Payments</t>
  </si>
  <si>
    <t>2105-0000</t>
  </si>
  <si>
    <t>Interest Payments</t>
  </si>
  <si>
    <t>Net Cash After Principal &amp; Interest</t>
  </si>
  <si>
    <t>Broker's Commission</t>
  </si>
  <si>
    <t>Building Improvements</t>
  </si>
  <si>
    <t>Tenant Improvements</t>
  </si>
  <si>
    <t>1740-0000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</si>
  <si>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</si>
  <si>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</si>
  <si>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</si>
  <si>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</si>
  <si>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</si>
  <si>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hard coded - actual from Yardi</t>
  </si>
  <si>
    <t>To reserve in account</t>
  </si>
  <si>
    <t>Allowable Distribution</t>
  </si>
  <si>
    <t>2016 PROJECTED TOTAL BUDGET</t>
  </si>
  <si>
    <t>Period</t>
  </si>
  <si>
    <t>Payment</t>
  </si>
  <si>
    <t>Principal</t>
  </si>
  <si>
    <t>Interest</t>
  </si>
  <si>
    <t>Cumulative Principal</t>
  </si>
  <si>
    <t>Cumulative Interest</t>
  </si>
  <si>
    <t>Loan Amount</t>
  </si>
  <si>
    <t>Interest Rate</t>
  </si>
  <si>
    <t>Payments</t>
  </si>
  <si>
    <t>Months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</si>
  <si>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</si>
  <si>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</si>
  <si>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</si>
  <si>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</si>
  <si>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</si>
  <si>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</si>
  <si>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</si>
  <si>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</si>
  <si>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</si>
  <si>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</si>
  <si>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</si>
  <si>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</si>
  <si>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</si>
  <si>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</si>
  <si>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SUNRISE TKD</t>
  </si>
  <si>
    <t>7/4/23-7/3/24</t>
  </si>
  <si>
    <t>SPACE 2 (QUEST)</t>
  </si>
  <si>
    <t>7/4/24 - 7/3/25</t>
  </si>
  <si>
    <t>SPACE 3</t>
  </si>
  <si>
    <t>Total 10-year rent</t>
  </si>
  <si>
    <t>Total Payments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</si>
  <si>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</si>
  <si>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</si>
  <si>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</si>
  <si>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</si>
  <si>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</si>
  <si>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</si>
  <si>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</si>
  <si>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</si>
  <si>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</si>
  <si>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</si>
  <si>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</si>
  <si>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</si>
  <si>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</si>
  <si>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</si>
  <si>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</si>
  <si>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</si>
  <si>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</si>
  <si>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t>SUNRISE TAE KWON DO WITH RKF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</si>
  <si>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</si>
  <si>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Year 1 Rent</t>
  </si>
  <si>
    <t>Year 2 Rent</t>
  </si>
  <si>
    <t>Year 3 Rent</t>
  </si>
  <si>
    <t>Year 4 Rent</t>
  </si>
  <si>
    <t>Year 5 Rent</t>
  </si>
  <si>
    <t>5% Commission</t>
  </si>
  <si>
    <t>50% due at opening</t>
  </si>
  <si>
    <t>Projected</t>
  </si>
  <si>
    <t>50% due six months after opening</t>
  </si>
  <si>
    <t>SPACE 2 (QUEST DIAGNOSTICS) WITH RIPCO</t>
  </si>
  <si>
    <t>Square feet</t>
  </si>
  <si>
    <t>Rent PSF</t>
  </si>
  <si>
    <t>25% Due 45 days after opening, payment of rent and conditions met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</si>
  <si>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</si>
  <si>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</si>
  <si>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</si>
  <si>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</si>
  <si>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</si>
  <si>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BASE RENTAL CHARGES</t>
  </si>
  <si>
    <t>Tenant Name</t>
  </si>
  <si>
    <t>Sq Ft</t>
  </si>
  <si>
    <t>Total 2015</t>
  </si>
  <si>
    <t>RCD 9/15/16</t>
  </si>
  <si>
    <t>RCD 11/1/16</t>
  </si>
  <si>
    <t>RCD 5/17/16</t>
  </si>
  <si>
    <t>Total Rent Revenue</t>
  </si>
  <si>
    <t>CAM CHARGES</t>
  </si>
  <si>
    <t>REAL ESTATE TAX CHARGES</t>
  </si>
  <si>
    <t>INSURANCE CHARGES</t>
  </si>
  <si>
    <t> CAM - MANAGEMENT FEES</t>
  </si>
  <si>
    <t> CAM-REPAIRS</t>
  </si>
  <si>
    <t> OFFICE- AUTO &amp; LOCAL FARE</t>
  </si>
  <si>
    <t xml:space="preserve"> MORTGAGE PAYABLE #1</t>
  </si>
  <si>
    <t xml:space="preserve"> TENANT IMPROVEMENT</t>
  </si>
  <si>
    <t xml:space="preserve"> RESERVE/CONTINGENCY</t>
  </si>
  <si>
    <t xml:space="preserve"> RELEASE FUNDS</t>
  </si>
  <si>
    <t>CASH BALANCE - BEGINNING OF MONTH</t>
  </si>
  <si>
    <t>CASH BALANCE - END OF MONTH</t>
  </si>
  <si>
    <t>EAST WINDSOR</t>
  </si>
  <si>
    <t>2017 Projected Budget</t>
  </si>
  <si>
    <t>Bollywood Salon</t>
  </si>
  <si>
    <t>Gold's Gym</t>
  </si>
  <si>
    <t>Via Roma</t>
  </si>
  <si>
    <t>Windsor Dry Cleaner</t>
  </si>
  <si>
    <t>BASE RENT EAST WINDSOR CROSSING LLC</t>
  </si>
  <si>
    <t>Column16</t>
  </si>
  <si>
    <t>Column17</t>
  </si>
  <si>
    <t>Column18</t>
  </si>
  <si>
    <t>Column19</t>
  </si>
  <si>
    <t>Patidar Cash and Carry</t>
  </si>
  <si>
    <t>Bold Eagle/Edible Arrangements</t>
  </si>
  <si>
    <t>Learning Step Kumon</t>
  </si>
  <si>
    <t>Assumes rent reduction stays in effect now through 2015</t>
  </si>
  <si>
    <t>Hot Peppers SKP Indian 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</si>
  <si>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</si>
  <si>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</si>
  <si>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</si>
  <si>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</si>
  <si>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</si>
  <si>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</si>
  <si>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</si>
  <si>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</si>
  <si>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</si>
  <si>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</si>
  <si>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</si>
  <si>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</si>
  <si>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PSF</t>
  </si>
  <si>
    <t xml:space="preserve">2017 OPERATING BUDGET </t>
  </si>
  <si>
    <t>2017 OPERATING BUDGET</t>
  </si>
  <si>
    <t>2017 PROJECTED TOTAL BUDGET</t>
  </si>
  <si>
    <t> CAM- EXTERMINATOR</t>
  </si>
  <si>
    <t>3110-0000</t>
  </si>
  <si>
    <t xml:space="preserve"> CAPITAL - CHARLES S. HADDAD</t>
  </si>
  <si>
    <t>3113-0000</t>
  </si>
  <si>
    <t xml:space="preserve"> CAPITAL - RICHARD A. HADDAD</t>
  </si>
  <si>
    <t xml:space="preserve"> CAPITAL - ISAAC JEMAL</t>
  </si>
  <si>
    <t xml:space="preserve"> CAPITAL - JOSEPH I. JEMAL</t>
  </si>
  <si>
    <t xml:space="preserve"> CAPITAL - SAMUEL I. JEMAL</t>
  </si>
  <si>
    <t>3127-0000</t>
  </si>
  <si>
    <t xml:space="preserve"> CAPITAL - DAVID SHWEKY</t>
  </si>
  <si>
    <t>3149-0000</t>
  </si>
  <si>
    <t xml:space="preserve"> CAPITAL - ALISON SUTTON</t>
  </si>
  <si>
    <t>3150-0000</t>
  </si>
  <si>
    <t xml:space="preserve"> CAPITAL - TERRANOVA REALTY VENT</t>
  </si>
  <si>
    <t>3151-0000</t>
  </si>
  <si>
    <t xml:space="preserve"> CAPITAL - JOSEPH COHEN</t>
  </si>
  <si>
    <t>3152-0000</t>
  </si>
  <si>
    <t xml:space="preserve"> CAPITAL - EST REALTY, LLC</t>
  </si>
  <si>
    <t>3153-0000</t>
  </si>
  <si>
    <t xml:space="preserve"> CAPITAL - HMS EAST WINDSOR COR</t>
  </si>
  <si>
    <t>3154-0000</t>
  </si>
  <si>
    <t xml:space="preserve"> CAPITAL - RALPH TAWIL</t>
  </si>
  <si>
    <t>3155-0000</t>
  </si>
  <si>
    <t xml:space="preserve"> CAPITAL - UZI SHVOT</t>
  </si>
  <si>
    <t>3156-0000</t>
  </si>
  <si>
    <t xml:space="preserve"> CAPITAL - DAYCORP FINANCE CO, SA</t>
  </si>
  <si>
    <t>3158-0000</t>
  </si>
  <si>
    <t xml:space="preserve"> CAPITAL - ALFRED SUTTON</t>
  </si>
  <si>
    <t>3159-0000</t>
  </si>
  <si>
    <t xml:space="preserve"> CAPITAL - CLAUDE PARDO</t>
  </si>
  <si>
    <t>3160-0000</t>
  </si>
  <si>
    <t xml:space="preserve"> CAPITAL - GRS EAST WINDSOR,INC</t>
  </si>
  <si>
    <t>3173-0000</t>
  </si>
  <si>
    <t xml:space="preserve"> CAPITAL - LILA REAL ESTATE INC.</t>
  </si>
  <si>
    <t> CAM- ELEVATOR REPAIR</t>
  </si>
  <si>
    <t> TELEPHONE</t>
  </si>
  <si>
    <t>LED Retrofit Parking Lot</t>
  </si>
  <si>
    <t>Project</t>
  </si>
  <si>
    <t>Description</t>
  </si>
  <si>
    <t>Area</t>
  </si>
  <si>
    <t>Year</t>
  </si>
  <si>
    <t>Expected Cost</t>
  </si>
  <si>
    <t>Capital/CAM</t>
  </si>
  <si>
    <t>Potential Resource/Vendor</t>
  </si>
  <si>
    <t>Target Start Date</t>
  </si>
  <si>
    <t>Additional Sign on Route 33</t>
  </si>
  <si>
    <t>Under the municipal guidelines, we can obtain approval for an additional pylon sign along Route 33 without a variance</t>
  </si>
  <si>
    <t>Improvement</t>
  </si>
  <si>
    <t>CAP</t>
  </si>
  <si>
    <t>Any Sign Company</t>
  </si>
  <si>
    <t>LED Retrofit of Pole Lighting throughout property</t>
  </si>
  <si>
    <t>YESCO, Broadway Lighting</t>
  </si>
  <si>
    <t>Service Area Paving</t>
  </si>
  <si>
    <t>Paving of the delivery and service areas of the shopping center</t>
  </si>
  <si>
    <t>Parking Lot</t>
  </si>
  <si>
    <t>C&amp;L</t>
  </si>
  <si>
    <t> CAM - RUBBISH REMOVAL</t>
  </si>
  <si>
    <t>Total Allowance for Doubtful Accounts</t>
  </si>
  <si>
    <t>ALLOWANCE FOR DOUBTFUL ACCOUNTS</t>
  </si>
  <si>
    <t>Adjusted Cashflow</t>
  </si>
  <si>
    <t>Meet at 8%</t>
  </si>
  <si>
    <t>Grand Total</t>
  </si>
  <si>
    <t>Monthly</t>
  </si>
  <si>
    <t>Annual</t>
  </si>
  <si>
    <t>Investors</t>
  </si>
  <si>
    <t>%-ownership</t>
  </si>
  <si>
    <t>GL</t>
  </si>
  <si>
    <t>NJ WITHHELD FROM CAPITAL DISTRIBUTION</t>
  </si>
  <si>
    <t>6216-0000</t>
  </si>
  <si>
    <t> CAM- LIGHTING</t>
  </si>
  <si>
    <t>$75K? LED Retrofit Parking Lot - Potential Vendor: YESCO, BROADWAY LIGHTING</t>
  </si>
  <si>
    <t>reduced by 30% due to CRS SF increase</t>
  </si>
  <si>
    <t>Based on 2016 Actual less the NJ Withholding</t>
  </si>
  <si>
    <t>1st</t>
  </si>
  <si>
    <t>% Change</t>
  </si>
  <si>
    <t>DRAWING - ISAAC S. JEMAL</t>
  </si>
  <si>
    <t>This is what is being paid currently</t>
  </si>
  <si>
    <t>Based on 2016 Actual</t>
  </si>
  <si>
    <t>6237-0000</t>
  </si>
  <si>
    <t> CAM - REPAIRS, HVAC, BOILER &amp; EQUIP</t>
  </si>
  <si>
    <t>Circle Plaza</t>
  </si>
  <si>
    <t>Real Estate Taxes</t>
  </si>
  <si>
    <t>6210-0000</t>
  </si>
  <si>
    <t> CAM - PLUMBING MAINTENANCE</t>
  </si>
  <si>
    <t>3419-0000</t>
  </si>
  <si>
    <t>DRAWING - JOSEPH I. JEMAL</t>
  </si>
  <si>
    <t>3420-0000</t>
  </si>
  <si>
    <t>DRAWING - SAMUEL I. JEMAL</t>
  </si>
  <si>
    <t>Capital Contribution</t>
  </si>
  <si>
    <t>Junction Realty Asso</t>
  </si>
  <si>
    <t>Princeton Stone and</t>
  </si>
  <si>
    <t>Noble Nail Salon</t>
  </si>
  <si>
    <t>Imagennaro's Caterin</t>
  </si>
  <si>
    <t>Siyu Spa LLC</t>
  </si>
  <si>
    <t>Max Fitness (FML Res</t>
  </si>
  <si>
    <t>Paul and Patricia Si</t>
  </si>
  <si>
    <t>Princeton Food Store</t>
  </si>
  <si>
    <t>V.T Rana Foods LLC</t>
  </si>
  <si>
    <t>CLF</t>
  </si>
  <si>
    <t>rent reduction</t>
  </si>
  <si>
    <t>2016 budget is higher than what they were actually charged</t>
  </si>
  <si>
    <t>Projected Inflations 2016</t>
  </si>
  <si>
    <t>Property value increase, Princeton NJ</t>
  </si>
  <si>
    <t>Tiger hall rent at $15 PSF (2,811)</t>
  </si>
  <si>
    <t>Broker fees (5% of 5 year lease)</t>
  </si>
  <si>
    <t xml:space="preserve">  Broker Payment 1 (September 1, 2016)</t>
  </si>
  <si>
    <t xml:space="preserve">  Broker Payment 2 (December 1, 2016)</t>
  </si>
  <si>
    <t xml:space="preserve">  Broker Payment 3 (March 1, 2017)</t>
  </si>
  <si>
    <t xml:space="preserve">  Broker Payment 4 (June 1, 2017)</t>
  </si>
  <si>
    <t>3462-0000</t>
  </si>
  <si>
    <t>DRAWING - GRS PRINCETON INC</t>
  </si>
  <si>
    <t>DRAWING - GRS PRINCETON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</si>
</sst>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\-yy;@"/>
    <numFmt numFmtId="166" formatCode="mm/dd/yy;@"/>
    <numFmt numFmtId="167" formatCode="0.000%"/>
    <numFmt numFmtId="168" formatCode="[$-409]mmmm\-yy;@"/>
    <numFmt numFmtId="169" formatCode="&quot;$&quot;#,##0"/>
    <numFmt numFmtId="170" formatCode="0.000000000000000%"/>
    <numFmt numFmtId="171" formatCode="0.0000%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505050"/>
      <name val="Verdana"/>
      <family val="2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505050"/>
      <name val="Verdana"/>
      <family val="2"/>
    </font>
    <font>
      <sz val="9"/>
      <name val="Arial"/>
      <family val="2"/>
    </font>
    <font>
      <b/>
      <sz val="12"/>
      <color rgb="FF505050"/>
      <name val="Verdana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1"/>
      <name val="Calibri"/>
      <family val="2"/>
      <scheme val="minor"/>
    </font>
    <font>
      <sz val="8"/>
      <color rgb="FF000000"/>
      <name val="Verdan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" fontId="19" fillId="0" borderId="11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44" applyFont="1"/>
    <xf numFmtId="0" fontId="24" fillId="0" borderId="0" xfId="44" applyFont="1" applyAlignment="1">
      <alignment horizontal="center"/>
    </xf>
    <xf numFmtId="164" fontId="24" fillId="0" borderId="12" xfId="45" applyNumberFormat="1" applyFont="1" applyBorder="1" applyAlignment="1">
      <alignment horizontal="center"/>
    </xf>
    <xf numFmtId="164" fontId="24" fillId="0" borderId="0" xfId="45" applyNumberFormat="1" applyFont="1"/>
    <xf numFmtId="164" fontId="24" fillId="0" borderId="13" xfId="45" applyNumberFormat="1" applyFont="1" applyBorder="1"/>
    <xf numFmtId="164" fontId="25" fillId="0" borderId="0" xfId="45" applyNumberFormat="1" applyFont="1"/>
    <xf numFmtId="0" fontId="24" fillId="0" borderId="0" xfId="44" applyFont="1"/>
    <xf numFmtId="165" fontId="26" fillId="0" borderId="0" xfId="44" applyNumberFormat="1" applyFont="1" applyAlignment="1">
      <alignment horizontal="center"/>
    </xf>
    <xf numFmtId="165" fontId="26" fillId="0" borderId="12" xfId="45" applyNumberFormat="1" applyFont="1" applyBorder="1" applyAlignment="1">
      <alignment horizontal="center"/>
    </xf>
    <xf numFmtId="165" fontId="26" fillId="0" borderId="0" xfId="45" applyNumberFormat="1" applyFont="1" applyAlignment="1">
      <alignment horizontal="center"/>
    </xf>
    <xf numFmtId="165" fontId="26" fillId="0" borderId="13" xfId="45" quotePrefix="1" applyNumberFormat="1" applyFont="1" applyBorder="1" applyAlignment="1">
      <alignment horizontal="center"/>
    </xf>
    <xf numFmtId="0" fontId="27" fillId="0" borderId="0" xfId="45" applyNumberFormat="1" applyFont="1" applyAlignment="1">
      <alignment horizontal="center"/>
    </xf>
    <xf numFmtId="0" fontId="1" fillId="34" borderId="0" xfId="44" applyFont="1" applyFill="1"/>
    <xf numFmtId="0" fontId="1" fillId="34" borderId="0" xfId="44" applyFont="1" applyFill="1" applyAlignment="1">
      <alignment horizontal="center"/>
    </xf>
    <xf numFmtId="164" fontId="1" fillId="34" borderId="12" xfId="45" applyNumberFormat="1" applyFont="1" applyFill="1" applyBorder="1" applyAlignment="1">
      <alignment horizontal="center"/>
    </xf>
    <xf numFmtId="164" fontId="24" fillId="34" borderId="0" xfId="45" applyNumberFormat="1" applyFont="1" applyFill="1"/>
    <xf numFmtId="164" fontId="24" fillId="34" borderId="13" xfId="45" applyNumberFormat="1" applyFont="1" applyFill="1" applyBorder="1"/>
    <xf numFmtId="164" fontId="25" fillId="34" borderId="0" xfId="45" applyNumberFormat="1" applyFont="1" applyFill="1"/>
    <xf numFmtId="0" fontId="24" fillId="34" borderId="0" xfId="44" applyFont="1" applyFill="1"/>
    <xf numFmtId="0" fontId="1" fillId="0" borderId="0" xfId="44" applyFont="1"/>
    <xf numFmtId="0" fontId="1" fillId="0" borderId="0" xfId="44" applyFont="1" applyAlignment="1">
      <alignment horizontal="center"/>
    </xf>
    <xf numFmtId="164" fontId="1" fillId="0" borderId="12" xfId="45" applyNumberFormat="1" applyFont="1" applyBorder="1" applyAlignment="1">
      <alignment horizontal="center"/>
    </xf>
    <xf numFmtId="0" fontId="26" fillId="35" borderId="0" xfId="44" applyFont="1" applyFill="1"/>
    <xf numFmtId="0" fontId="26" fillId="35" borderId="0" xfId="44" applyFont="1" applyFill="1" applyAlignment="1">
      <alignment horizontal="center"/>
    </xf>
    <xf numFmtId="164" fontId="26" fillId="35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/>
    <xf numFmtId="164" fontId="26" fillId="35" borderId="13" xfId="45" applyNumberFormat="1" applyFont="1" applyFill="1" applyBorder="1"/>
    <xf numFmtId="164" fontId="27" fillId="35" borderId="0" xfId="45" applyNumberFormat="1" applyFont="1" applyFill="1"/>
    <xf numFmtId="0" fontId="24" fillId="35" borderId="0" xfId="44" applyFont="1" applyFill="1" applyAlignment="1">
      <alignment horizontal="center"/>
    </xf>
    <xf numFmtId="164" fontId="24" fillId="35" borderId="12" xfId="45" applyNumberFormat="1" applyFont="1" applyFill="1" applyBorder="1" applyAlignment="1">
      <alignment horizontal="center"/>
    </xf>
    <xf numFmtId="164" fontId="24" fillId="35" borderId="0" xfId="45" applyNumberFormat="1" applyFont="1" applyFill="1"/>
    <xf numFmtId="164" fontId="24" fillId="35" borderId="13" xfId="45" applyNumberFormat="1" applyFont="1" applyFill="1" applyBorder="1"/>
    <xf numFmtId="164" fontId="25" fillId="35" borderId="0" xfId="45" applyNumberFormat="1" applyFont="1" applyFill="1"/>
    <xf numFmtId="0" fontId="24" fillId="35" borderId="0" xfId="44" applyFont="1" applyFill="1"/>
    <xf numFmtId="0" fontId="26" fillId="34" borderId="0" xfId="44" applyFont="1" applyFill="1" applyAlignment="1">
      <alignment horizontal="center"/>
    </xf>
    <xf numFmtId="164" fontId="26" fillId="34" borderId="12" xfId="45" applyNumberFormat="1" applyFont="1" applyFill="1" applyBorder="1" applyAlignment="1">
      <alignment horizontal="center"/>
    </xf>
    <xf numFmtId="0" fontId="24" fillId="34" borderId="0" xfId="44" applyFont="1" applyFill="1" applyAlignment="1">
      <alignment horizontal="center"/>
    </xf>
    <xf numFmtId="164" fontId="24" fillId="34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 applyAlignment="1">
      <alignment horizontal="center"/>
    </xf>
    <xf numFmtId="164" fontId="28" fillId="0" borderId="0" xfId="45" applyNumberFormat="1" applyFont="1"/>
    <xf numFmtId="164" fontId="24" fillId="0" borderId="0" xfId="45" applyNumberFormat="1" applyFont="1" applyAlignment="1">
      <alignment horizontal="right"/>
    </xf>
    <xf numFmtId="44" fontId="24" fillId="0" borderId="0" xfId="45" applyNumberFormat="1" applyFont="1"/>
    <xf numFmtId="0" fontId="1" fillId="0" borderId="0" xfId="44" applyFont="1" applyFill="1"/>
    <xf numFmtId="16" fontId="29" fillId="0" borderId="0" xfId="44" applyNumberFormat="1" applyFont="1" applyAlignment="1">
      <alignment vertical="center"/>
    </xf>
    <xf numFmtId="44" fontId="1" fillId="0" borderId="0" xfId="45" applyFont="1"/>
    <xf numFmtId="44" fontId="1" fillId="0" borderId="0" xfId="44" applyNumberFormat="1" applyFont="1"/>
    <xf numFmtId="168" fontId="29" fillId="0" borderId="0" xfId="44" applyNumberFormat="1" applyFont="1" applyAlignment="1">
      <alignment horizontal="center" vertical="center"/>
    </xf>
    <xf numFmtId="0" fontId="29" fillId="0" borderId="0" xfId="44" applyFont="1" applyAlignment="1">
      <alignment horizontal="center" vertical="center"/>
    </xf>
    <xf numFmtId="169" fontId="1" fillId="0" borderId="0" xfId="44" applyNumberFormat="1" applyFont="1"/>
    <xf numFmtId="44" fontId="30" fillId="0" borderId="0" xfId="44" applyNumberFormat="1" applyFont="1"/>
    <xf numFmtId="14" fontId="1" fillId="0" borderId="0" xfId="44" applyNumberFormat="1" applyFont="1" applyAlignment="1">
      <alignment horizontal="center"/>
    </xf>
    <xf numFmtId="9" fontId="1" fillId="0" borderId="0" xfId="44" applyNumberFormat="1" applyFont="1"/>
    <xf numFmtId="44" fontId="16" fillId="0" borderId="14" xfId="45" applyFont="1" applyBorder="1"/>
    <xf numFmtId="14" fontId="1" fillId="0" borderId="0" xfId="44" applyNumberFormat="1" applyFont="1"/>
    <xf numFmtId="44" fontId="16" fillId="0" borderId="0" xfId="44" applyNumberFormat="1" applyFont="1"/>
    <xf numFmtId="14" fontId="16" fillId="0" borderId="0" xfId="44" applyNumberFormat="1" applyFont="1"/>
    <xf numFmtId="44" fontId="30" fillId="0" borderId="0" xfId="45" applyFont="1"/>
    <xf numFmtId="16" fontId="1" fillId="0" borderId="0" xfId="44" applyNumberFormat="1" applyFont="1"/>
    <xf numFmtId="3" fontId="1" fillId="0" borderId="0" xfId="44" applyNumberFormat="1" applyFont="1" applyAlignment="1">
      <alignment horizontal="center"/>
    </xf>
    <xf numFmtId="164" fontId="1" fillId="0" borderId="0" xfId="45" applyNumberFormat="1" applyFont="1"/>
    <xf numFmtId="0" fontId="16" fillId="0" borderId="0" xfId="44" applyFont="1" applyAlignment="1">
      <alignment horizontal="center"/>
    </xf>
    <xf numFmtId="3" fontId="16" fillId="0" borderId="0" xfId="44" applyNumberFormat="1" applyFont="1" applyAlignment="1">
      <alignment horizontal="center"/>
    </xf>
    <xf numFmtId="165" fontId="16" fillId="0" borderId="0" xfId="45" applyNumberFormat="1" applyFont="1" applyAlignment="1">
      <alignment horizontal="center"/>
    </xf>
    <xf numFmtId="164" fontId="16" fillId="0" borderId="0" xfId="45" applyNumberFormat="1" applyFont="1" applyAlignment="1">
      <alignment horizontal="center"/>
    </xf>
    <xf numFmtId="3" fontId="1" fillId="34" borderId="0" xfId="44" applyNumberFormat="1" applyFont="1" applyFill="1" applyAlignment="1">
      <alignment horizontal="center"/>
    </xf>
    <xf numFmtId="44" fontId="1" fillId="34" borderId="0" xfId="45" applyFont="1" applyFill="1" applyAlignment="1">
      <alignment horizontal="center"/>
    </xf>
    <xf numFmtId="164" fontId="1" fillId="34" borderId="0" xfId="45" applyNumberFormat="1" applyFont="1" applyFill="1"/>
    <xf numFmtId="44" fontId="1" fillId="0" borderId="0" xfId="45" applyFont="1" applyAlignment="1">
      <alignment horizontal="center"/>
    </xf>
    <xf numFmtId="3" fontId="31" fillId="35" borderId="0" xfId="44" applyNumberFormat="1" applyFont="1" applyFill="1" applyAlignment="1">
      <alignment horizontal="center"/>
    </xf>
    <xf numFmtId="164" fontId="31" fillId="35" borderId="0" xfId="45" applyNumberFormat="1" applyFont="1" applyFill="1"/>
    <xf numFmtId="164" fontId="1" fillId="0" borderId="0" xfId="45" applyNumberFormat="1" applyFont="1" applyFill="1"/>
    <xf numFmtId="0" fontId="16" fillId="35" borderId="0" xfId="44" applyFont="1" applyFill="1"/>
    <xf numFmtId="0" fontId="16" fillId="35" borderId="0" xfId="44" applyFont="1" applyFill="1" applyAlignment="1">
      <alignment horizontal="center"/>
    </xf>
    <xf numFmtId="3" fontId="16" fillId="35" borderId="0" xfId="44" applyNumberFormat="1" applyFont="1" applyFill="1" applyAlignment="1">
      <alignment horizontal="center"/>
    </xf>
    <xf numFmtId="164" fontId="16" fillId="35" borderId="0" xfId="45" applyNumberFormat="1" applyFont="1" applyFill="1"/>
    <xf numFmtId="0" fontId="16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4" fontId="1" fillId="0" borderId="0" xfId="47" applyFont="1" applyAlignment="1">
      <alignment horizontal="center"/>
    </xf>
    <xf numFmtId="0" fontId="0" fillId="0" borderId="0" xfId="44" applyFont="1"/>
    <xf numFmtId="0" fontId="21" fillId="0" borderId="0" xfId="0" applyFont="1" applyAlignment="1"/>
    <xf numFmtId="4" fontId="33" fillId="0" borderId="0" xfId="1" applyNumberFormat="1" applyFont="1" applyAlignment="1">
      <alignment horizontal="center"/>
    </xf>
    <xf numFmtId="40" fontId="19" fillId="0" borderId="0" xfId="0" applyNumberFormat="1" applyFont="1" applyAlignment="1">
      <alignment horizontal="right"/>
    </xf>
    <xf numFmtId="40" fontId="19" fillId="0" borderId="0" xfId="1" applyNumberFormat="1" applyFont="1" applyAlignment="1">
      <alignment horizontal="right"/>
    </xf>
    <xf numFmtId="40" fontId="20" fillId="0" borderId="11" xfId="0" applyNumberFormat="1" applyFont="1" applyBorder="1" applyAlignment="1">
      <alignment horizontal="right"/>
    </xf>
    <xf numFmtId="40" fontId="21" fillId="0" borderId="0" xfId="0" applyNumberFormat="1" applyFont="1" applyAlignment="1"/>
    <xf numFmtId="40" fontId="20" fillId="33" borderId="10" xfId="1" applyNumberFormat="1" applyFont="1" applyFill="1" applyBorder="1" applyAlignment="1">
      <alignment horizontal="center" vertical="center" wrapText="1"/>
    </xf>
    <xf numFmtId="40" fontId="19" fillId="0" borderId="0" xfId="0" applyNumberFormat="1" applyFont="1" applyAlignment="1">
      <alignment horizontal="center"/>
    </xf>
    <xf numFmtId="40" fontId="20" fillId="0" borderId="0" xfId="0" applyNumberFormat="1" applyFont="1" applyAlignment="1">
      <alignment horizontal="right"/>
    </xf>
    <xf numFmtId="40" fontId="19" fillId="0" borderId="0" xfId="0" applyNumberFormat="1" applyFont="1" applyBorder="1" applyAlignment="1">
      <alignment horizontal="right"/>
    </xf>
    <xf numFmtId="40" fontId="20" fillId="0" borderId="0" xfId="0" applyNumberFormat="1" applyFont="1" applyBorder="1" applyAlignment="1">
      <alignment horizontal="right"/>
    </xf>
    <xf numFmtId="40" fontId="20" fillId="0" borderId="0" xfId="0" applyNumberFormat="1" applyFont="1" applyAlignment="1">
      <alignment horizontal="center"/>
    </xf>
    <xf numFmtId="40" fontId="20" fillId="0" borderId="0" xfId="1" applyNumberFormat="1" applyFont="1" applyAlignment="1">
      <alignment horizontal="center"/>
    </xf>
    <xf numFmtId="40" fontId="20" fillId="0" borderId="0" xfId="1" applyNumberFormat="1" applyFont="1" applyAlignment="1">
      <alignment horizontal="right"/>
    </xf>
    <xf numFmtId="40" fontId="0" fillId="0" borderId="0" xfId="0" applyNumberFormat="1"/>
    <xf numFmtId="40" fontId="0" fillId="0" borderId="0" xfId="1" applyNumberFormat="1" applyFont="1"/>
    <xf numFmtId="0" fontId="20" fillId="0" borderId="0" xfId="0" applyFont="1" applyAlignment="1"/>
    <xf numFmtId="0" fontId="19" fillId="0" borderId="0" xfId="0" applyFont="1" applyAlignment="1">
      <alignment horizontal="center"/>
    </xf>
    <xf numFmtId="17" fontId="20" fillId="33" borderId="10" xfId="0" applyNumberFormat="1" applyFont="1" applyFill="1" applyBorder="1" applyAlignment="1">
      <alignment horizontal="center" vertical="center" wrapText="1"/>
    </xf>
    <xf numFmtId="0" fontId="35" fillId="0" borderId="15" xfId="0" applyFont="1" applyBorder="1"/>
    <xf numFmtId="0" fontId="16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6" fillId="0" borderId="15" xfId="0" applyFont="1" applyBorder="1"/>
    <xf numFmtId="0" fontId="0" fillId="0" borderId="15" xfId="0" applyBorder="1"/>
    <xf numFmtId="44" fontId="0" fillId="0" borderId="15" xfId="0" applyNumberFormat="1" applyBorder="1"/>
    <xf numFmtId="49" fontId="0" fillId="0" borderId="15" xfId="0" applyNumberFormat="1" applyBorder="1"/>
    <xf numFmtId="168" fontId="0" fillId="0" borderId="15" xfId="0" applyNumberFormat="1" applyBorder="1"/>
    <xf numFmtId="0" fontId="35" fillId="0" borderId="15" xfId="0" applyFont="1" applyBorder="1" applyAlignment="1">
      <alignment wrapText="1"/>
    </xf>
    <xf numFmtId="0" fontId="35" fillId="0" borderId="15" xfId="0" applyFont="1" applyBorder="1" applyAlignment="1">
      <alignment horizontal="center"/>
    </xf>
    <xf numFmtId="44" fontId="35" fillId="0" borderId="15" xfId="0" applyNumberFormat="1" applyFont="1" applyBorder="1" applyAlignment="1">
      <alignment wrapText="1"/>
    </xf>
    <xf numFmtId="44" fontId="35" fillId="0" borderId="15" xfId="0" applyNumberFormat="1" applyFont="1" applyBorder="1" applyAlignment="1">
      <alignment horizontal="center"/>
    </xf>
    <xf numFmtId="49" fontId="35" fillId="0" borderId="15" xfId="0" applyNumberFormat="1" applyFont="1" applyBorder="1" applyAlignment="1">
      <alignment horizontal="center"/>
    </xf>
    <xf numFmtId="168" fontId="35" fillId="0" borderId="15" xfId="0" applyNumberFormat="1" applyFont="1" applyBorder="1" applyAlignment="1">
      <alignment horizontal="center"/>
    </xf>
    <xf numFmtId="0" fontId="37" fillId="0" borderId="0" xfId="0" applyFont="1"/>
    <xf numFmtId="40" fontId="16" fillId="0" borderId="0" xfId="0" applyNumberFormat="1" applyFont="1"/>
    <xf numFmtId="0" fontId="16" fillId="38" borderId="16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10" fontId="0" fillId="0" borderId="0" xfId="48" applyNumberFormat="1" applyFont="1"/>
    <xf numFmtId="9" fontId="0" fillId="0" borderId="0" xfId="48" applyNumberFormat="1" applyFont="1"/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6" fillId="0" borderId="0" xfId="0" applyFont="1" applyFill="1"/>
    <xf numFmtId="40" fontId="19" fillId="0" borderId="0" xfId="1" applyNumberFormat="1" applyFont="1" applyFill="1" applyAlignment="1">
      <alignment horizontal="right"/>
    </xf>
    <xf numFmtId="40" fontId="19" fillId="0" borderId="0" xfId="0" applyNumberFormat="1" applyFont="1" applyFill="1" applyAlignment="1">
      <alignment horizontal="right"/>
    </xf>
    <xf numFmtId="0" fontId="0" fillId="0" borderId="0" xfId="0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40" fontId="20" fillId="0" borderId="11" xfId="0" applyNumberFormat="1" applyFont="1" applyFill="1" applyBorder="1" applyAlignment="1">
      <alignment horizontal="right"/>
    </xf>
    <xf numFmtId="10" fontId="32" fillId="0" borderId="0" xfId="48" applyNumberFormat="1" applyFont="1" applyAlignment="1">
      <alignment horizontal="center"/>
    </xf>
    <xf numFmtId="10" fontId="34" fillId="0" borderId="0" xfId="48" applyNumberFormat="1" applyFont="1" applyAlignment="1">
      <alignment horizontal="center"/>
    </xf>
    <xf numFmtId="10" fontId="20" fillId="33" borderId="10" xfId="48" applyNumberFormat="1" applyFont="1" applyFill="1" applyBorder="1" applyAlignment="1">
      <alignment horizontal="center" vertical="center" wrapText="1"/>
    </xf>
    <xf numFmtId="10" fontId="19" fillId="0" borderId="0" xfId="48" applyNumberFormat="1" applyFont="1" applyAlignment="1">
      <alignment horizontal="center"/>
    </xf>
    <xf numFmtId="10" fontId="20" fillId="0" borderId="0" xfId="48" applyNumberFormat="1" applyFont="1" applyAlignment="1">
      <alignment horizontal="center"/>
    </xf>
    <xf numFmtId="10" fontId="21" fillId="0" borderId="0" xfId="48" applyNumberFormat="1" applyFont="1" applyAlignment="1">
      <alignment horizontal="center"/>
    </xf>
    <xf numFmtId="10" fontId="0" fillId="0" borderId="0" xfId="48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44" applyFont="1" applyFill="1"/>
    <xf numFmtId="3" fontId="1" fillId="0" borderId="0" xfId="44" applyNumberFormat="1" applyFont="1" applyFill="1" applyAlignment="1">
      <alignment horizontal="center"/>
    </xf>
    <xf numFmtId="44" fontId="1" fillId="0" borderId="0" xfId="45" applyFont="1" applyFill="1" applyAlignment="1">
      <alignment horizontal="center"/>
    </xf>
    <xf numFmtId="3" fontId="16" fillId="0" borderId="0" xfId="44" applyNumberFormat="1" applyFont="1" applyFill="1" applyAlignment="1">
      <alignment horizontal="center"/>
    </xf>
    <xf numFmtId="0" fontId="40" fillId="0" borderId="0" xfId="44" applyFont="1" applyFill="1"/>
    <xf numFmtId="3" fontId="40" fillId="0" borderId="0" xfId="44" applyNumberFormat="1" applyFont="1" applyFill="1" applyAlignment="1">
      <alignment horizontal="center"/>
    </xf>
    <xf numFmtId="164" fontId="40" fillId="0" borderId="0" xfId="45" applyNumberFormat="1" applyFont="1" applyFill="1"/>
    <xf numFmtId="164" fontId="1" fillId="37" borderId="0" xfId="45" applyNumberFormat="1" applyFont="1" applyFill="1"/>
    <xf numFmtId="0" fontId="0" fillId="0" borderId="0" xfId="44" applyFont="1" applyFill="1" applyAlignment="1">
      <alignment horizontal="center"/>
    </xf>
    <xf numFmtId="0" fontId="19" fillId="0" borderId="0" xfId="0" applyFont="1" applyAlignment="1">
      <alignment horizontal="center"/>
    </xf>
    <xf numFmtId="167" fontId="0" fillId="0" borderId="0" xfId="0" applyNumberFormat="1"/>
    <xf numFmtId="167" fontId="0" fillId="36" borderId="0" xfId="0" applyNumberFormat="1" applyFill="1"/>
    <xf numFmtId="40" fontId="0" fillId="37" borderId="0" xfId="0" applyNumberFormat="1" applyFill="1"/>
    <xf numFmtId="40" fontId="16" fillId="37" borderId="16" xfId="0" applyNumberFormat="1" applyFont="1" applyFill="1" applyBorder="1"/>
    <xf numFmtId="40" fontId="19" fillId="37" borderId="0" xfId="0" applyNumberFormat="1" applyFont="1" applyFill="1" applyAlignment="1">
      <alignment horizontal="right"/>
    </xf>
    <xf numFmtId="170" fontId="0" fillId="0" borderId="0" xfId="0" applyNumberFormat="1"/>
    <xf numFmtId="0" fontId="19" fillId="0" borderId="0" xfId="0" applyFont="1" applyAlignment="1">
      <alignment horizontal="center"/>
    </xf>
    <xf numFmtId="171" fontId="16" fillId="38" borderId="16" xfId="0" applyNumberFormat="1" applyFont="1" applyFill="1" applyBorder="1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40" fontId="39" fillId="0" borderId="0" xfId="0" applyNumberFormat="1" applyFont="1" applyFill="1" applyAlignment="1">
      <alignment horizontal="center"/>
    </xf>
    <xf numFmtId="0" fontId="38" fillId="39" borderId="0" xfId="0" applyFont="1" applyFill="1" applyAlignment="1">
      <alignment horizontal="center" vertical="center"/>
    </xf>
    <xf numFmtId="0" fontId="29" fillId="0" borderId="0" xfId="44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44" fontId="0" fillId="0" borderId="0" xfId="47" applyFont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44" fontId="0" fillId="0" borderId="0" xfId="0" applyNumberFormat="1"/>
    <xf numFmtId="44" fontId="0" fillId="0" borderId="0" xfId="47" applyFont="1"/>
    <xf numFmtId="8" fontId="0" fillId="0" borderId="0" xfId="0" applyNumberFormat="1"/>
    <xf numFmtId="0" fontId="0" fillId="0" borderId="0" xfId="0" applyFill="1" applyAlignment="1">
      <alignment horizontal="center"/>
    </xf>
    <xf numFmtId="44" fontId="0" fillId="0" borderId="0" xfId="0" applyNumberFormat="1" applyFill="1"/>
    <xf numFmtId="44" fontId="0" fillId="0" borderId="0" xfId="47" applyFont="1" applyFill="1"/>
    <xf numFmtId="8" fontId="0" fillId="0" borderId="0" xfId="47" applyNumberFormat="1" applyFont="1"/>
    <xf numFmtId="0" fontId="0" fillId="40" borderId="0" xfId="0" applyFill="1" applyAlignment="1">
      <alignment horizontal="center"/>
    </xf>
    <xf numFmtId="166" fontId="0" fillId="40" borderId="0" xfId="0" applyNumberFormat="1" applyFill="1"/>
    <xf numFmtId="44" fontId="0" fillId="40" borderId="0" xfId="0" applyNumberFormat="1" applyFill="1"/>
    <xf numFmtId="44" fontId="0" fillId="40" borderId="0" xfId="47" applyFont="1" applyFill="1"/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7" builtinId="4"/>
    <cellStyle name="Currency 2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48" builtinId="5"/>
    <cellStyle name="Percent 2" xfId="46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81</xdr:row>
      <xdr:rowOff>0</xdr:rowOff>
    </xdr:from>
    <xdr:to>
      <xdr:col>4</xdr:col>
      <xdr:colOff>476249</xdr:colOff>
      <xdr:row>82</xdr:row>
      <xdr:rowOff>23812</xdr:rowOff>
    </xdr:to>
    <xdr:cxnSp macro="">
      <xdr:nvCxnSpPr>
        <xdr:cNvPr id="2" name="Straight Arrow Connector 1"/>
        <xdr:cNvCxnSpPr/>
      </xdr:nvCxnSpPr>
      <xdr:spPr>
        <a:xfrm>
          <a:off x="6200774" y="15430500"/>
          <a:ext cx="476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80</xdr:row>
      <xdr:rowOff>166687</xdr:rowOff>
    </xdr:from>
    <xdr:to>
      <xdr:col>5</xdr:col>
      <xdr:colOff>476249</xdr:colOff>
      <xdr:row>82</xdr:row>
      <xdr:rowOff>47625</xdr:rowOff>
    </xdr:to>
    <xdr:cxnSp macro="">
      <xdr:nvCxnSpPr>
        <xdr:cNvPr id="3" name="Straight Arrow Connector 2"/>
        <xdr:cNvCxnSpPr/>
      </xdr:nvCxnSpPr>
      <xdr:spPr>
        <a:xfrm flipH="1">
          <a:off x="6981824" y="15406687"/>
          <a:ext cx="4762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5%20Budget-%202016%20Proforma/New%20Template%20Budgets/Rutherford%20Preliminary%20Budget%20NT%202016%20TEMP%20REV%2004%2001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 Budget 2015"/>
      <sheetName val="Op Budget 2016"/>
      <sheetName val="Assumptions"/>
      <sheetName val="2015 Dev Costs"/>
      <sheetName val="Broker's Comm"/>
      <sheetName val="Min Rent 2015"/>
      <sheetName val="CAM 2015"/>
      <sheetName val="RETaxes 2015"/>
      <sheetName val="Ins 2015"/>
      <sheetName val="Min Rent 2016"/>
      <sheetName val="CAM 2016"/>
      <sheetName val="RETaxes 2016"/>
      <sheetName val="Ins 2016"/>
    </sheetNames>
    <sheetDataSet>
      <sheetData sheetId="0"/>
      <sheetData sheetId="1">
        <row r="13">
          <cell r="Q13">
            <v>588.5</v>
          </cell>
        </row>
        <row r="14">
          <cell r="Q14">
            <v>995.1</v>
          </cell>
        </row>
        <row r="15">
          <cell r="Q15">
            <v>3610.5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6981.2</v>
          </cell>
        </row>
        <row r="20">
          <cell r="Q20">
            <v>1500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1093.5999999999999</v>
          </cell>
        </row>
        <row r="24">
          <cell r="Q24">
            <v>17403.190000000002</v>
          </cell>
        </row>
        <row r="25">
          <cell r="Q25">
            <v>16309.830000000002</v>
          </cell>
        </row>
        <row r="26">
          <cell r="Q26">
            <v>3830.1099999999997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16278.9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88655</v>
          </cell>
        </row>
        <row r="33">
          <cell r="Q33">
            <v>1652</v>
          </cell>
        </row>
        <row r="34">
          <cell r="Q34">
            <v>5019.4699999999993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10963.33</v>
          </cell>
        </row>
        <row r="41">
          <cell r="Q41">
            <v>16965.75</v>
          </cell>
        </row>
        <row r="42">
          <cell r="Q42">
            <v>12170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1058.8900000000001</v>
          </cell>
        </row>
        <row r="46">
          <cell r="Q46">
            <v>194.67000000000002</v>
          </cell>
        </row>
        <row r="47">
          <cell r="Q47">
            <v>681.67000000000007</v>
          </cell>
        </row>
        <row r="48">
          <cell r="Q48">
            <v>0</v>
          </cell>
        </row>
        <row r="49">
          <cell r="Q49">
            <v>251</v>
          </cell>
        </row>
        <row r="50">
          <cell r="Q50">
            <v>0</v>
          </cell>
        </row>
        <row r="51">
          <cell r="Q51">
            <v>98.06</v>
          </cell>
        </row>
        <row r="52">
          <cell r="Q52">
            <v>121.74000000000001</v>
          </cell>
        </row>
        <row r="56">
          <cell r="Q56">
            <v>52312.03</v>
          </cell>
        </row>
        <row r="73">
          <cell r="P73">
            <v>84180.56</v>
          </cell>
        </row>
      </sheetData>
      <sheetData sheetId="2"/>
      <sheetData sheetId="3">
        <row r="3">
          <cell r="B3">
            <v>1.49E-2</v>
          </cell>
          <cell r="I3">
            <v>5763.2800000000007</v>
          </cell>
          <cell r="J3">
            <v>13333.33</v>
          </cell>
        </row>
        <row r="4">
          <cell r="I4">
            <v>5782.49</v>
          </cell>
          <cell r="J4">
            <v>13314.12</v>
          </cell>
        </row>
        <row r="5">
          <cell r="B5">
            <v>0</v>
          </cell>
          <cell r="I5">
            <v>5801.76</v>
          </cell>
          <cell r="J5">
            <v>13294.85</v>
          </cell>
        </row>
        <row r="6">
          <cell r="I6">
            <v>5821.1</v>
          </cell>
          <cell r="J6">
            <v>13275.51</v>
          </cell>
        </row>
        <row r="7">
          <cell r="I7">
            <v>5840.51</v>
          </cell>
          <cell r="J7">
            <v>13256.1</v>
          </cell>
        </row>
        <row r="8">
          <cell r="I8">
            <v>5859.9700000000012</v>
          </cell>
          <cell r="J8">
            <v>13236.64</v>
          </cell>
        </row>
        <row r="9">
          <cell r="I9">
            <v>5879.51</v>
          </cell>
          <cell r="J9">
            <v>13217.1</v>
          </cell>
        </row>
        <row r="10">
          <cell r="I10">
            <v>5899.1100000000006</v>
          </cell>
          <cell r="J10">
            <v>13197.5</v>
          </cell>
          <cell r="P10"/>
        </row>
        <row r="11">
          <cell r="B11">
            <v>13333.333333333334</v>
          </cell>
          <cell r="I11">
            <v>5918.77</v>
          </cell>
          <cell r="J11">
            <v>13177.84</v>
          </cell>
          <cell r="P11">
            <v>13855</v>
          </cell>
        </row>
        <row r="12">
          <cell r="P12">
            <v>13855</v>
          </cell>
        </row>
        <row r="19">
          <cell r="P19"/>
        </row>
        <row r="20">
          <cell r="P20">
            <v>14493</v>
          </cell>
        </row>
        <row r="21">
          <cell r="P21">
            <v>14493</v>
          </cell>
        </row>
        <row r="28">
          <cell r="P28"/>
        </row>
        <row r="29">
          <cell r="P29">
            <v>10681</v>
          </cell>
        </row>
        <row r="30">
          <cell r="P30">
            <v>10681</v>
          </cell>
        </row>
        <row r="31">
          <cell r="P31">
            <v>10681</v>
          </cell>
        </row>
        <row r="34">
          <cell r="P34">
            <v>35000</v>
          </cell>
        </row>
      </sheetData>
      <sheetData sheetId="4"/>
      <sheetData sheetId="5">
        <row r="14">
          <cell r="K14">
            <v>9137</v>
          </cell>
          <cell r="L14">
            <v>0</v>
          </cell>
          <cell r="M14">
            <v>0</v>
          </cell>
          <cell r="N14">
            <v>15419</v>
          </cell>
          <cell r="O14">
            <v>4204.8355000000001</v>
          </cell>
          <cell r="P14">
            <v>1773.9150025162505</v>
          </cell>
          <cell r="Q14">
            <v>15419</v>
          </cell>
          <cell r="R14">
            <v>0</v>
          </cell>
          <cell r="S14">
            <v>0</v>
          </cell>
          <cell r="T14">
            <v>1773.9150025162505</v>
          </cell>
          <cell r="U14">
            <v>4204.8355000000001</v>
          </cell>
          <cell r="V14">
            <v>3547.830005032501</v>
          </cell>
        </row>
      </sheetData>
      <sheetData sheetId="6">
        <row r="15">
          <cell r="C15">
            <v>21897</v>
          </cell>
        </row>
      </sheetData>
      <sheetData sheetId="7"/>
      <sheetData sheetId="8"/>
      <sheetData sheetId="9"/>
      <sheetData sheetId="10">
        <row r="16">
          <cell r="E16">
            <v>25525</v>
          </cell>
          <cell r="F16">
            <v>25525</v>
          </cell>
          <cell r="G16">
            <v>25525</v>
          </cell>
          <cell r="H16">
            <v>25525</v>
          </cell>
          <cell r="I16">
            <v>26717.258064516129</v>
          </cell>
          <cell r="J16">
            <v>28165</v>
          </cell>
          <cell r="K16">
            <v>29515</v>
          </cell>
          <cell r="L16">
            <v>29515</v>
          </cell>
          <cell r="M16">
            <v>30628.75</v>
          </cell>
          <cell r="N16">
            <v>31742.5</v>
          </cell>
          <cell r="O16">
            <v>33970</v>
          </cell>
          <cell r="P16">
            <v>33970</v>
          </cell>
        </row>
      </sheetData>
      <sheetData sheetId="11">
        <row r="16">
          <cell r="E16">
            <v>2145</v>
          </cell>
          <cell r="F16">
            <v>2145</v>
          </cell>
          <cell r="G16">
            <v>2145</v>
          </cell>
          <cell r="H16">
            <v>2145</v>
          </cell>
          <cell r="I16">
            <v>2300.3548387096776</v>
          </cell>
          <cell r="J16">
            <v>2489</v>
          </cell>
          <cell r="K16">
            <v>2489</v>
          </cell>
          <cell r="L16">
            <v>2489</v>
          </cell>
          <cell r="M16">
            <v>2646</v>
          </cell>
          <cell r="N16">
            <v>2803</v>
          </cell>
          <cell r="O16">
            <v>3117</v>
          </cell>
          <cell r="P16">
            <v>3117</v>
          </cell>
        </row>
      </sheetData>
      <sheetData sheetId="12">
        <row r="16">
          <cell r="E16">
            <v>6007</v>
          </cell>
          <cell r="F16">
            <v>6007</v>
          </cell>
          <cell r="G16">
            <v>6007</v>
          </cell>
          <cell r="H16">
            <v>6007</v>
          </cell>
          <cell r="I16">
            <v>6200.7419354838712</v>
          </cell>
          <cell r="J16">
            <v>6436</v>
          </cell>
          <cell r="K16">
            <v>6436</v>
          </cell>
          <cell r="L16">
            <v>6436</v>
          </cell>
          <cell r="M16">
            <v>6632</v>
          </cell>
          <cell r="N16">
            <v>6828</v>
          </cell>
          <cell r="O16">
            <v>7220</v>
          </cell>
          <cell r="P16">
            <v>7220</v>
          </cell>
        </row>
      </sheetData>
      <sheetData sheetId="13">
        <row r="16">
          <cell r="D16">
            <v>390</v>
          </cell>
          <cell r="E16">
            <v>390</v>
          </cell>
          <cell r="F16">
            <v>390</v>
          </cell>
          <cell r="G16">
            <v>390</v>
          </cell>
          <cell r="H16">
            <v>390</v>
          </cell>
          <cell r="I16">
            <v>390</v>
          </cell>
          <cell r="J16">
            <v>390</v>
          </cell>
          <cell r="K16">
            <v>390</v>
          </cell>
          <cell r="L16">
            <v>390</v>
          </cell>
          <cell r="M16">
            <v>390</v>
          </cell>
          <cell r="N16">
            <v>390</v>
          </cell>
          <cell r="O16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125"/>
  <sheetViews>
    <sheetView workbookViewId="0">
      <selection activeCell="A86" sqref="A86:B88"/>
    </sheetView>
  </sheetViews>
  <sheetFormatPr defaultRowHeight="15" x14ac:dyDescent="0.25"/>
  <cols>
    <col min="1" max="1" width="11.42578125" customWidth="1"/>
    <col min="2" max="2" width="37.140625" customWidth="1"/>
    <col min="3" max="4" width="17.140625" customWidth="1"/>
    <col min="5" max="5" width="1.7109375" customWidth="1"/>
    <col min="6" max="7" width="17.140625" customWidth="1"/>
  </cols>
  <sheetData>
    <row r="1" spans="1:9" x14ac:dyDescent="0.25">
      <c r="A1" s="172" t="s">
        <v>162</v>
      </c>
      <c r="B1" s="172"/>
      <c r="C1" s="172"/>
      <c r="D1" s="172"/>
      <c r="E1" s="172"/>
      <c r="F1" s="172"/>
      <c r="G1" s="172"/>
    </row>
    <row r="2" spans="1:9" ht="15.75" x14ac:dyDescent="0.25">
      <c r="A2" s="173" t="s">
        <v>195</v>
      </c>
      <c r="B2" s="173"/>
      <c r="C2" s="173"/>
      <c r="D2" s="173"/>
      <c r="E2" s="173"/>
      <c r="F2" s="173"/>
      <c r="G2" s="173"/>
    </row>
    <row r="3" spans="1:9" x14ac:dyDescent="0.25">
      <c r="A3" s="172"/>
      <c r="B3" s="172"/>
      <c r="C3" s="172"/>
      <c r="D3" s="172"/>
      <c r="E3" s="172"/>
      <c r="F3" s="172"/>
      <c r="G3" s="172"/>
    </row>
    <row r="4" spans="1:9" x14ac:dyDescent="0.25">
      <c r="A4" s="172"/>
      <c r="B4" s="172"/>
      <c r="C4" s="172"/>
      <c r="D4" s="172"/>
      <c r="E4" s="172"/>
      <c r="F4" s="172"/>
      <c r="G4" s="172"/>
    </row>
    <row r="5" spans="1:9" s="11" customFormat="1" ht="21.75" thickBot="1" x14ac:dyDescent="0.3">
      <c r="A5" s="10"/>
      <c r="B5" s="10"/>
      <c r="C5" s="10" t="s">
        <v>197</v>
      </c>
      <c r="D5" s="10" t="s">
        <v>196</v>
      </c>
      <c r="E5" s="10"/>
      <c r="F5" s="10" t="s">
        <v>198</v>
      </c>
      <c r="G5" s="10" t="s">
        <v>199</v>
      </c>
    </row>
    <row r="6" spans="1:9" x14ac:dyDescent="0.25">
      <c r="A6" s="1"/>
      <c r="B6" s="5"/>
      <c r="C6" s="5"/>
      <c r="D6" s="1"/>
      <c r="E6" s="1"/>
      <c r="F6" s="1"/>
      <c r="G6" s="1"/>
    </row>
    <row r="7" spans="1:9" x14ac:dyDescent="0.25">
      <c r="A7" s="1" t="s">
        <v>1</v>
      </c>
      <c r="B7" s="5" t="s">
        <v>2</v>
      </c>
      <c r="C7" s="5"/>
      <c r="D7" s="9"/>
      <c r="E7" s="9"/>
      <c r="F7" s="9"/>
      <c r="G7" s="9"/>
    </row>
    <row r="8" spans="1:9" x14ac:dyDescent="0.25">
      <c r="A8" s="1"/>
      <c r="B8" s="5"/>
      <c r="C8" s="5"/>
      <c r="D8" s="1"/>
      <c r="E8" s="1"/>
      <c r="F8" s="1"/>
      <c r="G8" s="1"/>
    </row>
    <row r="9" spans="1:9" x14ac:dyDescent="0.25">
      <c r="A9" s="1" t="s">
        <v>3</v>
      </c>
      <c r="B9" s="5" t="s">
        <v>4</v>
      </c>
      <c r="C9" s="5"/>
      <c r="D9" s="9"/>
      <c r="E9" s="9"/>
      <c r="F9" s="9"/>
      <c r="G9" s="9"/>
    </row>
    <row r="10" spans="1:9" x14ac:dyDescent="0.25">
      <c r="A10" s="1" t="s">
        <v>5</v>
      </c>
      <c r="B10" s="5" t="s">
        <v>6</v>
      </c>
      <c r="C10" s="4"/>
      <c r="D10" s="4">
        <v>76575</v>
      </c>
      <c r="E10" s="4"/>
      <c r="F10" s="4">
        <f>_xlfn.IFNA(VLOOKUP(A10,'2017 Projected'!$A$10:$P$184,3,FALSE),)</f>
        <v>465310</v>
      </c>
      <c r="G10" s="4">
        <v>0</v>
      </c>
      <c r="I10" s="1"/>
    </row>
    <row r="11" spans="1:9" ht="15.75" thickBot="1" x14ac:dyDescent="0.3">
      <c r="A11" s="1" t="s">
        <v>7</v>
      </c>
      <c r="B11" s="5"/>
      <c r="C11" s="1"/>
      <c r="D11" s="1"/>
      <c r="E11" s="1"/>
      <c r="F11" s="4">
        <f>_xlfn.IFNA(VLOOKUP(A11,'2017 Projected'!$A$10:$P$184,3,FALSE),)</f>
        <v>0</v>
      </c>
      <c r="G11" s="1"/>
      <c r="I11" s="1"/>
    </row>
    <row r="12" spans="1:9" x14ac:dyDescent="0.25">
      <c r="A12" s="1" t="s">
        <v>9</v>
      </c>
      <c r="B12" s="5" t="s">
        <v>10</v>
      </c>
      <c r="C12" s="8"/>
      <c r="D12" s="8">
        <v>76575</v>
      </c>
      <c r="E12" s="8"/>
      <c r="F12" s="8">
        <v>76575</v>
      </c>
      <c r="G12" s="8">
        <v>0</v>
      </c>
      <c r="I12" s="1"/>
    </row>
    <row r="13" spans="1:9" x14ac:dyDescent="0.25">
      <c r="A13" s="1"/>
      <c r="B13" s="5"/>
      <c r="C13" s="1"/>
      <c r="D13" s="1"/>
      <c r="E13" s="1"/>
      <c r="F13" s="1"/>
      <c r="G13" s="1"/>
      <c r="I13" s="1"/>
    </row>
    <row r="14" spans="1:9" x14ac:dyDescent="0.25">
      <c r="A14" s="1" t="s">
        <v>11</v>
      </c>
      <c r="B14" s="5" t="s">
        <v>12</v>
      </c>
      <c r="C14" s="9"/>
      <c r="D14" s="9"/>
      <c r="E14" s="9"/>
      <c r="F14" s="9"/>
      <c r="G14" s="9"/>
      <c r="I14" s="1"/>
    </row>
    <row r="15" spans="1:9" x14ac:dyDescent="0.25">
      <c r="A15" s="1" t="s">
        <v>13</v>
      </c>
      <c r="B15" s="5" t="str">
        <f>VLOOKUP(A15,'2017 Projected'!$A$9:$B$184,2,FALSE)</f>
        <v> REIMB. - UTILITIES</v>
      </c>
      <c r="C15" s="9"/>
      <c r="D15" s="9"/>
      <c r="E15" s="9"/>
      <c r="F15" s="4">
        <f>_xlfn.IFNA(VLOOKUP(A15,'2017 Projected'!$A$10:$P$184,3,FALSE),)</f>
        <v>0</v>
      </c>
      <c r="G15" s="9"/>
      <c r="I15" s="1"/>
    </row>
    <row r="16" spans="1:9" x14ac:dyDescent="0.25">
      <c r="A16" s="1" t="s">
        <v>15</v>
      </c>
      <c r="B16" s="5" t="s">
        <v>16</v>
      </c>
      <c r="C16" s="4"/>
      <c r="D16" s="4">
        <v>7342.83</v>
      </c>
      <c r="E16" s="4"/>
      <c r="F16" s="4">
        <f>_xlfn.IFNA(VLOOKUP(A16,'2017 Projected'!$A$10:$P$184,3,FALSE),)</f>
        <v>119905</v>
      </c>
      <c r="G16" s="4">
        <v>0</v>
      </c>
      <c r="I16" s="1"/>
    </row>
    <row r="17" spans="1:9" x14ac:dyDescent="0.25">
      <c r="A17" s="1" t="s">
        <v>17</v>
      </c>
      <c r="B17" s="5" t="s">
        <v>18</v>
      </c>
      <c r="C17" s="4"/>
      <c r="D17" s="4">
        <v>1171.92</v>
      </c>
      <c r="E17" s="4"/>
      <c r="F17" s="4">
        <f>_xlfn.IFNA(VLOOKUP(A17,'2017 Projected'!$A$10:$P$184,3,FALSE),)</f>
        <v>0</v>
      </c>
      <c r="G17" s="4">
        <v>0</v>
      </c>
      <c r="I17" s="1"/>
    </row>
    <row r="18" spans="1:9" x14ac:dyDescent="0.25">
      <c r="A18" s="1" t="s">
        <v>19</v>
      </c>
      <c r="B18" s="5" t="s">
        <v>20</v>
      </c>
      <c r="C18" s="4"/>
      <c r="D18" s="4">
        <v>18028.740000000002</v>
      </c>
      <c r="E18" s="4"/>
      <c r="F18" s="4">
        <f>_xlfn.IFNA(VLOOKUP(A18,'2017 Projected'!$A$10:$P$184,3,FALSE),)</f>
        <v>0</v>
      </c>
      <c r="G18" s="4">
        <v>0</v>
      </c>
      <c r="I18" s="1"/>
    </row>
    <row r="19" spans="1:9" x14ac:dyDescent="0.25">
      <c r="A19" s="1" t="s">
        <v>21</v>
      </c>
      <c r="B19" s="5" t="str">
        <f>VLOOKUP(A19,'2017 Projected'!$A$9:$B$184,2,FALSE)</f>
        <v> CAM RECOVERY</v>
      </c>
      <c r="C19" s="4"/>
      <c r="D19" s="4"/>
      <c r="E19" s="4"/>
      <c r="F19" s="4">
        <f>_xlfn.IFNA(VLOOKUP(A19,'2017 Projected'!$A$10:$P$184,3,FALSE),)</f>
        <v>0</v>
      </c>
      <c r="G19" s="4"/>
      <c r="I19" s="1"/>
    </row>
    <row r="20" spans="1:9" x14ac:dyDescent="0.25">
      <c r="A20" s="1" t="s">
        <v>23</v>
      </c>
      <c r="B20" s="5" t="str">
        <f>VLOOKUP(A20,'2017 Projected'!$A$9:$B$184,2,FALSE)</f>
        <v> INSURANCE RECOVERY</v>
      </c>
      <c r="C20" s="4"/>
      <c r="D20" s="4"/>
      <c r="E20" s="4"/>
      <c r="F20" s="4">
        <f>_xlfn.IFNA(VLOOKUP(A20,'2017 Projected'!$A$10:$P$184,3,FALSE),)</f>
        <v>0</v>
      </c>
      <c r="G20" s="4"/>
      <c r="I20" s="1"/>
    </row>
    <row r="21" spans="1:9" x14ac:dyDescent="0.25">
      <c r="A21" s="1" t="s">
        <v>25</v>
      </c>
      <c r="B21" s="5" t="str">
        <f>VLOOKUP(A21,'2017 Projected'!$A$9:$B$184,2,FALSE)</f>
        <v> TAX RECOVERY</v>
      </c>
      <c r="C21" s="4"/>
      <c r="D21" s="4"/>
      <c r="E21" s="4"/>
      <c r="F21" s="4">
        <f>_xlfn.IFNA(VLOOKUP(A21,'2017 Projected'!$A$10:$P$184,3,FALSE),)</f>
        <v>0</v>
      </c>
      <c r="G21" s="4"/>
      <c r="I21" s="1"/>
    </row>
    <row r="22" spans="1:9" ht="15.75" thickBot="1" x14ac:dyDescent="0.3">
      <c r="A22" s="1" t="s">
        <v>27</v>
      </c>
      <c r="B22" s="5" t="s">
        <v>28</v>
      </c>
      <c r="C22" s="4"/>
      <c r="D22" s="4">
        <v>1201.32</v>
      </c>
      <c r="E22" s="4"/>
      <c r="F22" s="4">
        <f>_xlfn.IFNA(VLOOKUP(A22,'2017 Projected'!$A$10:$P$184,3,FALSE),)</f>
        <v>0</v>
      </c>
      <c r="G22" s="4">
        <v>0</v>
      </c>
      <c r="I22" s="1"/>
    </row>
    <row r="23" spans="1:9" ht="15.75" thickBot="1" x14ac:dyDescent="0.3">
      <c r="A23" s="1" t="s">
        <v>29</v>
      </c>
      <c r="B23" s="5" t="s">
        <v>30</v>
      </c>
      <c r="C23" s="8"/>
      <c r="D23" s="8">
        <v>27744.81</v>
      </c>
      <c r="E23" s="8"/>
      <c r="F23" s="4">
        <f>_xlfn.IFNA(VLOOKUP(A23,'2017 Projected'!$A$10:$P$184,3,FALSE),)</f>
        <v>119905</v>
      </c>
      <c r="G23" s="8">
        <v>0</v>
      </c>
      <c r="I23" s="1"/>
    </row>
    <row r="24" spans="1:9" x14ac:dyDescent="0.25">
      <c r="A24" s="1" t="s">
        <v>39</v>
      </c>
      <c r="B24" s="5" t="s">
        <v>40</v>
      </c>
      <c r="C24" s="8"/>
      <c r="D24" s="8">
        <v>104319.81</v>
      </c>
      <c r="E24" s="8"/>
      <c r="F24" s="8">
        <v>104319.81</v>
      </c>
      <c r="G24" s="8">
        <v>0</v>
      </c>
      <c r="I24" s="1"/>
    </row>
    <row r="25" spans="1:9" x14ac:dyDescent="0.25">
      <c r="A25" s="1"/>
      <c r="B25" s="5"/>
      <c r="C25" s="1"/>
      <c r="D25" s="1"/>
      <c r="E25" s="1"/>
      <c r="F25" s="1"/>
      <c r="G25" s="1"/>
      <c r="I25" s="1"/>
    </row>
    <row r="26" spans="1:9" x14ac:dyDescent="0.25">
      <c r="A26" s="1" t="s">
        <v>41</v>
      </c>
      <c r="B26" s="5" t="s">
        <v>42</v>
      </c>
      <c r="C26" s="9"/>
      <c r="D26" s="9"/>
      <c r="E26" s="9"/>
      <c r="F26" s="9"/>
      <c r="G26" s="9"/>
      <c r="I26" s="1"/>
    </row>
    <row r="27" spans="1:9" x14ac:dyDescent="0.25">
      <c r="A27" s="1" t="s">
        <v>43</v>
      </c>
      <c r="B27" s="5" t="s">
        <v>44</v>
      </c>
      <c r="C27" s="9"/>
      <c r="D27" s="9"/>
      <c r="E27" s="9"/>
      <c r="F27" s="9"/>
      <c r="G27" s="9"/>
      <c r="I27" s="1"/>
    </row>
    <row r="28" spans="1:9" x14ac:dyDescent="0.25">
      <c r="A28" s="1" t="s">
        <v>194</v>
      </c>
      <c r="B28" s="5" t="s">
        <v>193</v>
      </c>
      <c r="C28" s="4"/>
      <c r="D28" s="4">
        <v>240.75</v>
      </c>
      <c r="E28" s="4"/>
      <c r="F28" s="4">
        <f>_xlfn.IFNA(VLOOKUP(A28,'2017 Projected'!$A$10:$P$184,3,FALSE),)</f>
        <v>6058</v>
      </c>
      <c r="G28" s="4">
        <v>0</v>
      </c>
      <c r="I28" s="1"/>
    </row>
    <row r="29" spans="1:9" x14ac:dyDescent="0.25">
      <c r="A29" s="1" t="s">
        <v>49</v>
      </c>
      <c r="B29" s="5" t="s">
        <v>50</v>
      </c>
      <c r="C29" s="4"/>
      <c r="D29" s="4">
        <v>4280</v>
      </c>
      <c r="E29" s="4"/>
      <c r="F29" s="4">
        <f>_xlfn.IFNA(VLOOKUP(A29,'2017 Projected'!$A$10:$P$184,3,FALSE),)</f>
        <v>5267</v>
      </c>
      <c r="G29" s="4">
        <v>0</v>
      </c>
      <c r="I29" s="1"/>
    </row>
    <row r="30" spans="1:9" x14ac:dyDescent="0.25">
      <c r="A30" s="1" t="s">
        <v>192</v>
      </c>
      <c r="B30" s="5" t="s">
        <v>191</v>
      </c>
      <c r="C30" s="4"/>
      <c r="D30" s="4">
        <v>22.61</v>
      </c>
      <c r="E30" s="4"/>
      <c r="F30" s="4">
        <f>_xlfn.IFNA(VLOOKUP(A30,'2017 Projected'!$A$10:$P$184,3,FALSE),)</f>
        <v>609</v>
      </c>
      <c r="G30" s="4">
        <v>0</v>
      </c>
      <c r="I30" s="1"/>
    </row>
    <row r="31" spans="1:9" x14ac:dyDescent="0.25">
      <c r="A31" s="1" t="s">
        <v>53</v>
      </c>
      <c r="B31" s="5" t="s">
        <v>54</v>
      </c>
      <c r="C31" s="4"/>
      <c r="D31" s="4">
        <v>2450.0700000000002</v>
      </c>
      <c r="E31" s="4"/>
      <c r="F31" s="4">
        <f>_xlfn.IFNA(VLOOKUP(A31,'2017 Projected'!$A$10:$P$184,3,FALSE),)</f>
        <v>13800</v>
      </c>
      <c r="G31" s="4">
        <v>0</v>
      </c>
      <c r="I31" s="1"/>
    </row>
    <row r="32" spans="1:9" x14ac:dyDescent="0.25">
      <c r="A32" s="1" t="s">
        <v>55</v>
      </c>
      <c r="B32" s="5" t="s">
        <v>56</v>
      </c>
      <c r="C32" s="4"/>
      <c r="D32" s="4">
        <v>1460.72</v>
      </c>
      <c r="E32" s="4"/>
      <c r="F32" s="4">
        <f>_xlfn.IFNA(VLOOKUP(A32,'2017 Projected'!$A$10:$P$184,3,FALSE),)</f>
        <v>5480</v>
      </c>
      <c r="G32" s="4">
        <v>0</v>
      </c>
      <c r="I32" s="1"/>
    </row>
    <row r="33" spans="1:9" ht="15.75" thickBot="1" x14ac:dyDescent="0.3">
      <c r="A33" s="1" t="s">
        <v>57</v>
      </c>
      <c r="B33" s="5" t="s">
        <v>58</v>
      </c>
      <c r="C33" s="4"/>
      <c r="D33" s="4">
        <v>1252.0899999999999</v>
      </c>
      <c r="E33" s="4"/>
      <c r="F33" s="4">
        <f>_xlfn.IFNA(VLOOKUP(A33,'2017 Projected'!$A$10:$P$184,3,FALSE),)</f>
        <v>6686</v>
      </c>
      <c r="G33" s="4">
        <v>0</v>
      </c>
      <c r="I33" s="1"/>
    </row>
    <row r="34" spans="1:9" x14ac:dyDescent="0.25">
      <c r="A34" s="1" t="s">
        <v>59</v>
      </c>
      <c r="B34" s="5" t="s">
        <v>60</v>
      </c>
      <c r="C34" s="8"/>
      <c r="D34" s="8">
        <v>9706.24</v>
      </c>
      <c r="E34" s="8"/>
      <c r="F34" s="8">
        <v>9706.24</v>
      </c>
      <c r="G34" s="8">
        <v>0</v>
      </c>
      <c r="I34" s="1"/>
    </row>
    <row r="35" spans="1:9" x14ac:dyDescent="0.25">
      <c r="A35" s="1" t="s">
        <v>61</v>
      </c>
      <c r="B35" s="5" t="s">
        <v>62</v>
      </c>
      <c r="C35" s="9"/>
      <c r="D35" s="9"/>
      <c r="E35" s="9"/>
      <c r="F35" s="9"/>
      <c r="G35" s="9"/>
      <c r="I35" s="1"/>
    </row>
    <row r="36" spans="1:9" x14ac:dyDescent="0.25">
      <c r="A36" s="1"/>
      <c r="B36" s="5"/>
      <c r="C36" s="9"/>
      <c r="D36" s="9"/>
      <c r="E36" s="9"/>
      <c r="F36" s="9"/>
      <c r="G36" s="9"/>
      <c r="I36" s="1"/>
    </row>
    <row r="37" spans="1:9" x14ac:dyDescent="0.25">
      <c r="A37" s="1"/>
      <c r="B37" s="5"/>
      <c r="C37" s="9"/>
      <c r="D37" s="9"/>
      <c r="E37" s="9"/>
      <c r="F37" s="9"/>
      <c r="G37" s="9"/>
      <c r="I37" s="1"/>
    </row>
    <row r="38" spans="1:9" x14ac:dyDescent="0.25">
      <c r="A38" s="1"/>
      <c r="B38" s="5"/>
      <c r="C38" s="9"/>
      <c r="D38" s="9"/>
      <c r="E38" s="9"/>
      <c r="F38" s="9"/>
      <c r="G38" s="9"/>
      <c r="I38" s="1"/>
    </row>
    <row r="39" spans="1:9" x14ac:dyDescent="0.25">
      <c r="A39" s="1"/>
      <c r="B39" s="5"/>
      <c r="C39" s="9"/>
      <c r="D39" s="9"/>
      <c r="E39" s="9"/>
      <c r="F39" s="9"/>
      <c r="G39" s="9"/>
      <c r="I39" s="1"/>
    </row>
    <row r="40" spans="1:9" x14ac:dyDescent="0.25">
      <c r="A40" s="1" t="s">
        <v>73</v>
      </c>
      <c r="B40" s="5" t="s">
        <v>74</v>
      </c>
      <c r="C40" s="4"/>
      <c r="D40" s="4">
        <v>570</v>
      </c>
      <c r="E40" s="4"/>
      <c r="F40" s="4">
        <f>_xlfn.IFNA(VLOOKUP(A40,'2017 Projected'!$A$10:$P$184,3,FALSE),)</f>
        <v>11090</v>
      </c>
      <c r="G40" s="4">
        <v>0</v>
      </c>
      <c r="I40" s="1"/>
    </row>
    <row r="41" spans="1:9" x14ac:dyDescent="0.25">
      <c r="A41" s="1" t="s">
        <v>190</v>
      </c>
      <c r="B41" s="5" t="s">
        <v>189</v>
      </c>
      <c r="C41" s="4"/>
      <c r="D41" s="4">
        <v>-251.33</v>
      </c>
      <c r="E41" s="4"/>
      <c r="F41" s="4">
        <f>_xlfn.IFNA(VLOOKUP(A41,'2017 Projected'!$A$10:$P$184,3,FALSE),)</f>
        <v>0</v>
      </c>
      <c r="G41" s="4">
        <v>0</v>
      </c>
      <c r="I41" s="1"/>
    </row>
    <row r="42" spans="1:9" x14ac:dyDescent="0.25">
      <c r="A42" s="1" t="s">
        <v>79</v>
      </c>
      <c r="B42" s="5" t="s">
        <v>80</v>
      </c>
      <c r="C42" s="4"/>
      <c r="D42" s="4">
        <v>42.49</v>
      </c>
      <c r="E42" s="4"/>
      <c r="F42" s="4">
        <f>_xlfn.IFNA(VLOOKUP(A42,'2017 Projected'!$A$10:$P$184,3,FALSE),)</f>
        <v>0</v>
      </c>
      <c r="G42" s="4">
        <v>0</v>
      </c>
      <c r="I42" s="1"/>
    </row>
    <row r="43" spans="1:9" x14ac:dyDescent="0.25">
      <c r="A43" s="1" t="s">
        <v>81</v>
      </c>
      <c r="B43" s="5" t="s">
        <v>82</v>
      </c>
      <c r="C43" s="4"/>
      <c r="D43" s="4">
        <v>372.65</v>
      </c>
      <c r="E43" s="4"/>
      <c r="F43" s="4">
        <f>_xlfn.IFNA(VLOOKUP(A43,'2017 Projected'!$A$10:$P$184,3,FALSE),)</f>
        <v>0</v>
      </c>
      <c r="G43" s="4">
        <v>0</v>
      </c>
      <c r="I43" s="1"/>
    </row>
    <row r="44" spans="1:9" x14ac:dyDescent="0.25">
      <c r="A44" s="1" t="s">
        <v>85</v>
      </c>
      <c r="B44" s="5" t="s">
        <v>86</v>
      </c>
      <c r="C44" s="4"/>
      <c r="D44" s="4">
        <v>15</v>
      </c>
      <c r="E44" s="4"/>
      <c r="F44" s="4">
        <f>_xlfn.IFNA(VLOOKUP(A44,'2017 Projected'!$A$10:$P$184,3,FALSE),)</f>
        <v>5271</v>
      </c>
      <c r="G44" s="4">
        <v>0</v>
      </c>
      <c r="I44" s="1"/>
    </row>
    <row r="45" spans="1:9" x14ac:dyDescent="0.25">
      <c r="A45" s="1" t="s">
        <v>87</v>
      </c>
      <c r="B45" s="5" t="s">
        <v>88</v>
      </c>
      <c r="C45" s="4"/>
      <c r="D45" s="4">
        <v>3372.2</v>
      </c>
      <c r="E45" s="4"/>
      <c r="F45" s="4">
        <f>_xlfn.IFNA(VLOOKUP(A45,'2017 Projected'!$A$10:$P$184,3,FALSE),)</f>
        <v>2500</v>
      </c>
      <c r="G45" s="4">
        <v>0</v>
      </c>
      <c r="I45" s="1"/>
    </row>
    <row r="46" spans="1:9" x14ac:dyDescent="0.25">
      <c r="A46" s="1" t="s">
        <v>89</v>
      </c>
      <c r="B46" s="5" t="s">
        <v>90</v>
      </c>
      <c r="C46" s="4"/>
      <c r="D46" s="4">
        <v>900</v>
      </c>
      <c r="E46" s="4"/>
      <c r="F46" s="4">
        <f>_xlfn.IFNA(VLOOKUP(A46,'2017 Projected'!$A$10:$P$184,3,FALSE),)</f>
        <v>3600</v>
      </c>
      <c r="G46" s="4">
        <v>0</v>
      </c>
      <c r="I46" s="1"/>
    </row>
    <row r="47" spans="1:9" ht="15.75" thickBot="1" x14ac:dyDescent="0.3">
      <c r="A47" s="1"/>
      <c r="B47" s="5"/>
      <c r="C47" s="1"/>
      <c r="D47" s="1"/>
      <c r="E47" s="1"/>
      <c r="F47" s="1"/>
      <c r="G47" s="1"/>
      <c r="I47" s="1"/>
    </row>
    <row r="48" spans="1:9" x14ac:dyDescent="0.25">
      <c r="A48" s="1" t="s">
        <v>93</v>
      </c>
      <c r="B48" s="5" t="s">
        <v>94</v>
      </c>
      <c r="C48" s="8"/>
      <c r="D48" s="8">
        <v>5021.01</v>
      </c>
      <c r="E48" s="8"/>
      <c r="F48" s="8">
        <v>5021.01</v>
      </c>
      <c r="G48" s="8">
        <v>0</v>
      </c>
      <c r="I48" s="1"/>
    </row>
    <row r="49" spans="1:9" x14ac:dyDescent="0.25">
      <c r="A49" s="1"/>
      <c r="B49" s="5"/>
      <c r="C49" s="1"/>
      <c r="D49" s="1"/>
      <c r="E49" s="1"/>
      <c r="F49" s="1"/>
      <c r="G49" s="1"/>
      <c r="I49" s="1"/>
    </row>
    <row r="50" spans="1:9" x14ac:dyDescent="0.25">
      <c r="A50" s="1" t="s">
        <v>95</v>
      </c>
      <c r="B50" s="5" t="s">
        <v>96</v>
      </c>
      <c r="C50" s="9"/>
      <c r="D50" s="9"/>
      <c r="E50" s="9"/>
      <c r="F50" s="9"/>
      <c r="G50" s="9"/>
      <c r="I50" s="1"/>
    </row>
    <row r="51" spans="1:9" x14ac:dyDescent="0.25">
      <c r="A51" s="1" t="s">
        <v>97</v>
      </c>
      <c r="B51" s="5" t="s">
        <v>98</v>
      </c>
      <c r="C51" s="4"/>
      <c r="D51" s="4">
        <v>93.94</v>
      </c>
      <c r="E51" s="4"/>
      <c r="F51" s="4">
        <f>_xlfn.IFNA(VLOOKUP(A51,'2017 Projected'!$A$10:$P$184,3,FALSE),)</f>
        <v>130</v>
      </c>
      <c r="G51" s="4">
        <v>0</v>
      </c>
      <c r="I51" s="1"/>
    </row>
    <row r="52" spans="1:9" x14ac:dyDescent="0.25">
      <c r="A52" s="1" t="s">
        <v>99</v>
      </c>
      <c r="B52" s="5" t="s">
        <v>100</v>
      </c>
      <c r="C52" s="4"/>
      <c r="D52" s="4">
        <v>311.60000000000002</v>
      </c>
      <c r="E52" s="4"/>
      <c r="F52" s="4">
        <f>_xlfn.IFNA(VLOOKUP(A52,'2017 Projected'!$A$10:$P$184,3,FALSE),)</f>
        <v>277</v>
      </c>
      <c r="G52" s="4">
        <v>0</v>
      </c>
      <c r="I52" s="1"/>
    </row>
    <row r="53" spans="1:9" x14ac:dyDescent="0.25">
      <c r="A53" s="1" t="s">
        <v>101</v>
      </c>
      <c r="B53" s="5" t="s">
        <v>102</v>
      </c>
      <c r="C53" s="4"/>
      <c r="D53" s="4">
        <v>251</v>
      </c>
      <c r="E53" s="4"/>
      <c r="F53" s="4">
        <f>_xlfn.IFNA(VLOOKUP(A53,'2017 Projected'!$A$10:$P$184,3,FALSE),)</f>
        <v>100</v>
      </c>
      <c r="G53" s="4">
        <v>0</v>
      </c>
      <c r="I53" s="1"/>
    </row>
    <row r="54" spans="1:9" x14ac:dyDescent="0.25">
      <c r="A54" s="1" t="s">
        <v>103</v>
      </c>
      <c r="B54" s="5" t="s">
        <v>104</v>
      </c>
      <c r="C54" s="4"/>
      <c r="D54" s="4">
        <v>35.04</v>
      </c>
      <c r="E54" s="4"/>
      <c r="F54" s="4">
        <f>_xlfn.IFNA(VLOOKUP(A54,'2017 Projected'!$A$10:$P$184,3,FALSE),)</f>
        <v>0</v>
      </c>
      <c r="G54" s="4">
        <v>0</v>
      </c>
      <c r="I54" s="1"/>
    </row>
    <row r="55" spans="1:9" ht="15.75" thickBot="1" x14ac:dyDescent="0.3">
      <c r="A55" s="1"/>
      <c r="B55" s="5"/>
      <c r="C55" s="1"/>
      <c r="D55" s="1"/>
      <c r="E55" s="1"/>
      <c r="F55" s="1"/>
      <c r="G55" s="1"/>
      <c r="I55" s="1"/>
    </row>
    <row r="56" spans="1:9" x14ac:dyDescent="0.25">
      <c r="A56" s="1" t="s">
        <v>105</v>
      </c>
      <c r="B56" s="5" t="s">
        <v>106</v>
      </c>
      <c r="C56" s="8"/>
      <c r="D56" s="8">
        <v>691.58</v>
      </c>
      <c r="E56" s="8"/>
      <c r="F56" s="8">
        <v>691.58</v>
      </c>
      <c r="G56" s="8">
        <v>0</v>
      </c>
      <c r="I56" s="1"/>
    </row>
    <row r="57" spans="1:9" x14ac:dyDescent="0.25">
      <c r="A57" s="1"/>
      <c r="B57" s="5"/>
      <c r="C57" s="1"/>
      <c r="D57" s="1"/>
      <c r="E57" s="1"/>
      <c r="F57" s="1"/>
      <c r="G57" s="1"/>
      <c r="I57" s="1"/>
    </row>
    <row r="58" spans="1:9" x14ac:dyDescent="0.25">
      <c r="A58" s="1" t="s">
        <v>107</v>
      </c>
      <c r="B58" s="5" t="s">
        <v>108</v>
      </c>
      <c r="C58" s="9"/>
      <c r="D58" s="9"/>
      <c r="E58" s="9"/>
      <c r="F58" s="9"/>
      <c r="G58" s="9"/>
      <c r="I58" s="1"/>
    </row>
    <row r="59" spans="1:9" x14ac:dyDescent="0.25">
      <c r="A59" s="1" t="s">
        <v>109</v>
      </c>
      <c r="B59" s="5" t="s">
        <v>110</v>
      </c>
      <c r="C59" s="4"/>
      <c r="D59" s="4">
        <v>27555.56</v>
      </c>
      <c r="E59" s="4"/>
      <c r="F59" s="4">
        <f>_xlfn.IFNA(VLOOKUP(A59,'2017 Projected'!$A$10:$P$184,3,FALSE),)</f>
        <v>128062</v>
      </c>
      <c r="G59" s="4">
        <v>0</v>
      </c>
      <c r="I59" s="1"/>
    </row>
    <row r="60" spans="1:9" ht="15.75" thickBot="1" x14ac:dyDescent="0.3">
      <c r="A60" s="1"/>
      <c r="B60" s="5"/>
      <c r="C60" s="1"/>
      <c r="D60" s="1"/>
      <c r="E60" s="1"/>
      <c r="F60" s="1"/>
      <c r="G60" s="1"/>
      <c r="I60" s="1"/>
    </row>
    <row r="61" spans="1:9" x14ac:dyDescent="0.25">
      <c r="A61" s="1" t="s">
        <v>111</v>
      </c>
      <c r="B61" s="5" t="s">
        <v>112</v>
      </c>
      <c r="C61" s="8"/>
      <c r="D61" s="8">
        <v>27555.56</v>
      </c>
      <c r="E61" s="8"/>
      <c r="F61" s="8">
        <v>27555.56</v>
      </c>
      <c r="G61" s="8">
        <v>0</v>
      </c>
      <c r="I61" s="1"/>
    </row>
    <row r="62" spans="1:9" x14ac:dyDescent="0.25">
      <c r="A62" s="1"/>
      <c r="B62" s="5"/>
      <c r="C62" s="1"/>
      <c r="D62" s="1"/>
      <c r="E62" s="1"/>
      <c r="F62" s="1"/>
      <c r="G62" s="1"/>
      <c r="I62" s="1"/>
    </row>
    <row r="63" spans="1:9" ht="15.75" thickBot="1" x14ac:dyDescent="0.3">
      <c r="A63" s="1"/>
      <c r="B63" s="5"/>
      <c r="C63" s="1"/>
      <c r="D63" s="1"/>
      <c r="E63" s="1"/>
      <c r="F63" s="1"/>
      <c r="G63" s="1"/>
      <c r="I63" s="1"/>
    </row>
    <row r="64" spans="1:9" x14ac:dyDescent="0.25">
      <c r="A64" s="1" t="s">
        <v>113</v>
      </c>
      <c r="B64" s="5" t="s">
        <v>114</v>
      </c>
      <c r="C64" s="8"/>
      <c r="D64" s="8">
        <v>42974.39</v>
      </c>
      <c r="E64" s="8"/>
      <c r="F64" s="8">
        <v>42974.39</v>
      </c>
      <c r="G64" s="8">
        <v>0</v>
      </c>
      <c r="I64" s="1"/>
    </row>
    <row r="65" spans="1:9" x14ac:dyDescent="0.25">
      <c r="A65" s="1"/>
      <c r="B65" s="5"/>
      <c r="C65" s="1"/>
      <c r="D65" s="1"/>
      <c r="E65" s="1"/>
      <c r="F65" s="1"/>
      <c r="G65" s="1"/>
      <c r="I65" s="1"/>
    </row>
    <row r="66" spans="1:9" ht="15.75" thickBot="1" x14ac:dyDescent="0.3">
      <c r="A66" s="1"/>
      <c r="B66" s="5"/>
      <c r="C66" s="1"/>
      <c r="D66" s="1"/>
      <c r="E66" s="1"/>
      <c r="F66" s="1"/>
      <c r="G66" s="1"/>
      <c r="I66" s="1"/>
    </row>
    <row r="67" spans="1:9" x14ac:dyDescent="0.25">
      <c r="A67" s="1" t="s">
        <v>115</v>
      </c>
      <c r="B67" s="5" t="s">
        <v>116</v>
      </c>
      <c r="C67" s="8"/>
      <c r="D67" s="8">
        <v>61345.42</v>
      </c>
      <c r="E67" s="8"/>
      <c r="F67" s="8">
        <v>61345.42</v>
      </c>
      <c r="G67" s="8">
        <v>0</v>
      </c>
      <c r="I67" s="1"/>
    </row>
    <row r="68" spans="1:9" x14ac:dyDescent="0.25">
      <c r="A68" s="1"/>
      <c r="B68" s="5"/>
      <c r="C68" s="1"/>
      <c r="D68" s="1"/>
      <c r="E68" s="1"/>
      <c r="F68" s="1"/>
      <c r="G68" s="1"/>
      <c r="I68" s="1"/>
    </row>
    <row r="69" spans="1:9" x14ac:dyDescent="0.25">
      <c r="A69" s="1"/>
      <c r="B69" s="5" t="s">
        <v>117</v>
      </c>
      <c r="C69" s="9"/>
      <c r="D69" s="9"/>
      <c r="E69" s="9"/>
      <c r="F69" s="9"/>
      <c r="G69" s="9"/>
      <c r="I69" s="1"/>
    </row>
    <row r="70" spans="1:9" x14ac:dyDescent="0.25">
      <c r="A70" s="1" t="s">
        <v>118</v>
      </c>
      <c r="B70" s="5" t="s">
        <v>119</v>
      </c>
      <c r="C70" s="4"/>
      <c r="D70" s="4">
        <v>-13944.84</v>
      </c>
      <c r="E70" s="4"/>
      <c r="F70" s="4">
        <f>_xlfn.IFNA(VLOOKUP(A70,'2017 Projected'!$A$10:$P$184,3,FALSE),)</f>
        <v>78000</v>
      </c>
      <c r="G70" s="4">
        <v>0</v>
      </c>
      <c r="I70" s="1"/>
    </row>
    <row r="71" spans="1:9" ht="15.75" thickBot="1" x14ac:dyDescent="0.3">
      <c r="A71" s="1"/>
      <c r="B71" s="5"/>
      <c r="C71" s="1"/>
      <c r="D71" s="1"/>
      <c r="E71" s="1"/>
      <c r="F71" s="1"/>
      <c r="G71" s="1"/>
      <c r="I71" s="1"/>
    </row>
    <row r="72" spans="1:9" x14ac:dyDescent="0.25">
      <c r="A72" s="1" t="s">
        <v>120</v>
      </c>
      <c r="B72" s="5" t="s">
        <v>121</v>
      </c>
      <c r="C72" s="8"/>
      <c r="D72" s="8">
        <v>-13944.84</v>
      </c>
      <c r="E72" s="8"/>
      <c r="F72" s="8">
        <v>-13944.84</v>
      </c>
      <c r="G72" s="8">
        <v>0</v>
      </c>
      <c r="I72" s="1"/>
    </row>
    <row r="73" spans="1:9" x14ac:dyDescent="0.25">
      <c r="A73" s="1" t="s">
        <v>122</v>
      </c>
      <c r="B73" s="5" t="s">
        <v>123</v>
      </c>
      <c r="C73" s="9"/>
      <c r="D73" s="9"/>
      <c r="E73" s="9"/>
      <c r="F73" s="9"/>
      <c r="G73" s="9"/>
      <c r="I73" s="1"/>
    </row>
    <row r="74" spans="1:9" ht="15.75" thickBot="1" x14ac:dyDescent="0.3">
      <c r="A74" s="1" t="s">
        <v>124</v>
      </c>
      <c r="B74" s="5" t="s">
        <v>125</v>
      </c>
      <c r="C74" s="4"/>
      <c r="D74" s="4">
        <v>-7935</v>
      </c>
      <c r="E74" s="4"/>
      <c r="F74" s="4">
        <f>_xlfn.IFNA(VLOOKUP(A74,'2017 Projected'!$A$10:$P$184,3,FALSE),)</f>
        <v>0</v>
      </c>
      <c r="G74" s="4">
        <v>0</v>
      </c>
      <c r="I74" s="1"/>
    </row>
    <row r="75" spans="1:9" x14ac:dyDescent="0.25">
      <c r="A75" s="1" t="s">
        <v>128</v>
      </c>
      <c r="B75" s="5" t="s">
        <v>129</v>
      </c>
      <c r="C75" s="8"/>
      <c r="D75" s="8">
        <v>-7935</v>
      </c>
      <c r="E75" s="8"/>
      <c r="F75" s="8">
        <v>-7935</v>
      </c>
      <c r="G75" s="8">
        <v>0</v>
      </c>
      <c r="I75" s="1"/>
    </row>
    <row r="76" spans="1:9" x14ac:dyDescent="0.25">
      <c r="A76" s="1"/>
      <c r="B76" s="5"/>
      <c r="C76" s="1"/>
      <c r="D76" s="1"/>
      <c r="E76" s="1"/>
      <c r="F76" s="1"/>
      <c r="G76" s="1"/>
      <c r="I76" s="1"/>
    </row>
    <row r="77" spans="1:9" x14ac:dyDescent="0.25">
      <c r="A77" s="1" t="s">
        <v>130</v>
      </c>
      <c r="B77" s="5" t="s">
        <v>131</v>
      </c>
      <c r="C77" s="9"/>
      <c r="D77" s="9"/>
      <c r="E77" s="9"/>
      <c r="F77" s="9"/>
      <c r="G77" s="9"/>
      <c r="I77" s="1"/>
    </row>
    <row r="78" spans="1:9" x14ac:dyDescent="0.25">
      <c r="A78" s="1" t="s">
        <v>134</v>
      </c>
      <c r="B78" s="5" t="s">
        <v>135</v>
      </c>
      <c r="C78" s="4"/>
      <c r="D78" s="4">
        <v>-15419.53</v>
      </c>
      <c r="E78" s="4"/>
      <c r="F78" s="4">
        <f>_xlfn.IFNA(VLOOKUP(A78,'2017 Projected'!$A$10:$P$184,3,FALSE),)</f>
        <v>0</v>
      </c>
      <c r="G78" s="4">
        <v>0</v>
      </c>
      <c r="I78" s="1"/>
    </row>
    <row r="79" spans="1:9" ht="15.75" thickBot="1" x14ac:dyDescent="0.3">
      <c r="A79" s="1"/>
      <c r="B79" s="5"/>
      <c r="C79" s="1"/>
      <c r="D79" s="1"/>
      <c r="E79" s="1"/>
      <c r="F79" s="1"/>
      <c r="G79" s="1"/>
      <c r="I79" s="1"/>
    </row>
    <row r="80" spans="1:9" x14ac:dyDescent="0.25">
      <c r="A80" s="1" t="s">
        <v>136</v>
      </c>
      <c r="B80" s="5" t="s">
        <v>137</v>
      </c>
      <c r="C80" s="8"/>
      <c r="D80" s="8">
        <v>-15419.53</v>
      </c>
      <c r="E80" s="8"/>
      <c r="F80" s="8">
        <v>-15419.53</v>
      </c>
      <c r="G80" s="8">
        <v>0</v>
      </c>
      <c r="I80" s="1"/>
    </row>
    <row r="81" spans="1:9" x14ac:dyDescent="0.25">
      <c r="A81" s="1"/>
      <c r="B81" s="5"/>
      <c r="C81" s="1"/>
      <c r="D81" s="1"/>
      <c r="E81" s="1"/>
      <c r="F81" s="1"/>
      <c r="G81" s="1"/>
      <c r="I81" s="1"/>
    </row>
    <row r="82" spans="1:9" ht="15.75" thickBot="1" x14ac:dyDescent="0.3">
      <c r="A82" s="1"/>
      <c r="B82" s="5"/>
      <c r="C82" s="1"/>
      <c r="D82" s="1"/>
      <c r="E82" s="1"/>
      <c r="F82" s="1"/>
      <c r="G82" s="1"/>
      <c r="I82" s="1"/>
    </row>
    <row r="83" spans="1:9" x14ac:dyDescent="0.25">
      <c r="A83" s="1" t="s">
        <v>138</v>
      </c>
      <c r="B83" s="5" t="s">
        <v>139</v>
      </c>
      <c r="C83" s="8"/>
      <c r="D83" s="8">
        <v>-37299.370000000003</v>
      </c>
      <c r="E83" s="8"/>
      <c r="F83" s="8">
        <v>-37299.370000000003</v>
      </c>
      <c r="G83" s="8">
        <v>0</v>
      </c>
      <c r="I83" s="1"/>
    </row>
    <row r="84" spans="1:9" x14ac:dyDescent="0.25">
      <c r="A84" s="1"/>
      <c r="B84" s="5"/>
      <c r="C84" s="1"/>
      <c r="D84" s="1"/>
      <c r="E84" s="1"/>
      <c r="F84" s="1"/>
      <c r="G84" s="1"/>
      <c r="I84" s="1"/>
    </row>
    <row r="85" spans="1:9" x14ac:dyDescent="0.25">
      <c r="A85" s="1" t="s">
        <v>140</v>
      </c>
      <c r="B85" s="5" t="s">
        <v>141</v>
      </c>
      <c r="C85" s="9"/>
      <c r="D85" s="9"/>
      <c r="E85" s="9"/>
      <c r="F85" s="9"/>
      <c r="G85" s="9"/>
      <c r="I85" s="1"/>
    </row>
    <row r="86" spans="1:9" x14ac:dyDescent="0.25">
      <c r="A86" s="1" t="s">
        <v>142</v>
      </c>
      <c r="B86" s="5" t="s">
        <v>143</v>
      </c>
      <c r="C86" s="4"/>
      <c r="D86" s="4">
        <v>-426.72</v>
      </c>
      <c r="E86" s="4"/>
      <c r="F86" s="4">
        <f>_xlfn.IFNA(VLOOKUP(A86,'2017 Projected'!$A$10:$P$184,3,FALSE),)</f>
        <v>0</v>
      </c>
      <c r="G86" s="4">
        <v>0</v>
      </c>
      <c r="I86" s="1"/>
    </row>
    <row r="87" spans="1:9" x14ac:dyDescent="0.25">
      <c r="A87" s="1" t="s">
        <v>144</v>
      </c>
      <c r="B87" s="5" t="s">
        <v>145</v>
      </c>
      <c r="C87" s="4"/>
      <c r="D87" s="4">
        <v>3355</v>
      </c>
      <c r="E87" s="4"/>
      <c r="F87" s="4">
        <f>_xlfn.IFNA(VLOOKUP(A87,'2017 Projected'!$A$10:$P$184,3,FALSE),)</f>
        <v>0</v>
      </c>
      <c r="G87" s="4">
        <v>0</v>
      </c>
      <c r="I87" s="1"/>
    </row>
    <row r="88" spans="1:9" ht="15.75" thickBot="1" x14ac:dyDescent="0.3">
      <c r="A88" s="1" t="s">
        <v>188</v>
      </c>
      <c r="B88" s="5" t="s">
        <v>187</v>
      </c>
      <c r="C88" s="4"/>
      <c r="D88" s="4">
        <v>6710</v>
      </c>
      <c r="E88" s="4"/>
      <c r="F88" s="4">
        <f>_xlfn.IFNA(VLOOKUP(A88,'2017 Projected'!$A$10:$P$184,3,FALSE),)</f>
        <v>0</v>
      </c>
      <c r="G88" s="4">
        <v>0</v>
      </c>
      <c r="I88" s="1"/>
    </row>
    <row r="89" spans="1:9" x14ac:dyDescent="0.25">
      <c r="A89" s="1" t="s">
        <v>146</v>
      </c>
      <c r="B89" s="5" t="s">
        <v>147</v>
      </c>
      <c r="C89" s="8"/>
      <c r="D89" s="8">
        <v>9638.2800000000007</v>
      </c>
      <c r="E89" s="8"/>
      <c r="F89" s="8">
        <v>9638.2800000000007</v>
      </c>
      <c r="G89" s="8">
        <v>0</v>
      </c>
      <c r="I89" s="1"/>
    </row>
    <row r="90" spans="1:9" ht="15.75" thickBot="1" x14ac:dyDescent="0.3">
      <c r="A90" s="1" t="s">
        <v>148</v>
      </c>
      <c r="B90" s="5" t="s">
        <v>149</v>
      </c>
      <c r="C90" s="9"/>
      <c r="D90" s="9"/>
      <c r="E90" s="9"/>
      <c r="F90" s="9"/>
      <c r="G90" s="9"/>
      <c r="I90" s="1"/>
    </row>
    <row r="91" spans="1:9" x14ac:dyDescent="0.25">
      <c r="A91" s="1" t="s">
        <v>153</v>
      </c>
      <c r="B91" s="5" t="s">
        <v>154</v>
      </c>
      <c r="C91" s="8"/>
      <c r="D91" s="8">
        <v>0</v>
      </c>
      <c r="E91" s="8"/>
      <c r="F91" s="8">
        <v>0</v>
      </c>
      <c r="G91" s="8">
        <v>0</v>
      </c>
      <c r="I91" s="1"/>
    </row>
    <row r="92" spans="1:9" ht="15.75" thickBot="1" x14ac:dyDescent="0.3">
      <c r="A92" s="1" t="s">
        <v>155</v>
      </c>
      <c r="B92" s="5" t="s">
        <v>156</v>
      </c>
      <c r="C92" s="9"/>
      <c r="D92" s="9"/>
      <c r="E92" s="9"/>
      <c r="F92" s="9"/>
      <c r="G92" s="9"/>
      <c r="I92" s="1"/>
    </row>
    <row r="93" spans="1:9" x14ac:dyDescent="0.25">
      <c r="A93" s="1" t="s">
        <v>158</v>
      </c>
      <c r="B93" s="5" t="s">
        <v>159</v>
      </c>
      <c r="C93" s="8"/>
      <c r="D93" s="8">
        <v>0</v>
      </c>
      <c r="E93" s="8"/>
      <c r="F93" s="8">
        <v>0</v>
      </c>
      <c r="G93" s="8">
        <v>0</v>
      </c>
      <c r="I93" s="1"/>
    </row>
    <row r="94" spans="1:9" ht="15.75" thickBot="1" x14ac:dyDescent="0.3">
      <c r="A94" s="1"/>
      <c r="B94" s="5"/>
      <c r="C94" s="1"/>
      <c r="D94" s="1"/>
      <c r="E94" s="1"/>
      <c r="F94" s="1"/>
      <c r="G94" s="1"/>
      <c r="I94" s="1"/>
    </row>
    <row r="95" spans="1:9" x14ac:dyDescent="0.25">
      <c r="A95" s="1"/>
      <c r="B95" s="5" t="s">
        <v>160</v>
      </c>
      <c r="C95" s="8"/>
      <c r="D95" s="8">
        <v>-27661.09</v>
      </c>
      <c r="E95" s="8"/>
      <c r="F95" s="8">
        <v>-27661.09</v>
      </c>
      <c r="G95" s="8">
        <v>0</v>
      </c>
      <c r="I95" s="1"/>
    </row>
    <row r="96" spans="1:9" ht="15.75" thickBot="1" x14ac:dyDescent="0.3">
      <c r="A96" s="1"/>
      <c r="B96" s="5"/>
      <c r="C96" s="1"/>
      <c r="D96" s="1"/>
      <c r="E96" s="1"/>
      <c r="F96" s="1"/>
      <c r="G96" s="1"/>
      <c r="I96" s="1"/>
    </row>
    <row r="97" spans="1:9" x14ac:dyDescent="0.25">
      <c r="A97" s="1"/>
      <c r="B97" s="5" t="s">
        <v>161</v>
      </c>
      <c r="C97" s="8"/>
      <c r="D97" s="8">
        <v>33684.33</v>
      </c>
      <c r="E97" s="8"/>
      <c r="F97" s="8">
        <v>33684.33</v>
      </c>
      <c r="G97" s="8">
        <v>0</v>
      </c>
      <c r="I97" s="1"/>
    </row>
    <row r="98" spans="1:9" x14ac:dyDescent="0.25">
      <c r="A98" s="171"/>
      <c r="B98" s="171"/>
      <c r="C98" s="171"/>
      <c r="D98" s="171"/>
      <c r="E98" s="171"/>
      <c r="F98" s="171"/>
      <c r="G98" s="171"/>
      <c r="I98" s="1"/>
    </row>
    <row r="99" spans="1:9" x14ac:dyDescent="0.25">
      <c r="A99" s="1"/>
      <c r="B99" s="3" t="s">
        <v>186</v>
      </c>
      <c r="C99" s="3"/>
      <c r="D99" s="6" t="s">
        <v>184</v>
      </c>
      <c r="E99" s="6"/>
      <c r="F99" s="6" t="s">
        <v>163</v>
      </c>
      <c r="G99" s="1"/>
      <c r="I99" s="1"/>
    </row>
    <row r="100" spans="1:9" x14ac:dyDescent="0.25">
      <c r="A100" s="1" t="s">
        <v>182</v>
      </c>
      <c r="B100" s="5" t="s">
        <v>181</v>
      </c>
      <c r="C100" s="5"/>
      <c r="D100" s="4">
        <v>84180.56</v>
      </c>
      <c r="E100" s="4"/>
      <c r="F100" s="4">
        <v>33684.33</v>
      </c>
      <c r="G100" s="1"/>
      <c r="I100" s="1"/>
    </row>
    <row r="101" spans="1:9" x14ac:dyDescent="0.25">
      <c r="A101" s="1" t="s">
        <v>180</v>
      </c>
      <c r="B101" s="5" t="s">
        <v>179</v>
      </c>
      <c r="C101" s="5"/>
      <c r="D101" s="4">
        <v>-46.88</v>
      </c>
      <c r="E101" s="4"/>
      <c r="F101" s="4">
        <v>0</v>
      </c>
      <c r="G101" s="1"/>
      <c r="I101" s="1"/>
    </row>
    <row r="102" spans="1:9" x14ac:dyDescent="0.25">
      <c r="A102" s="1" t="s">
        <v>178</v>
      </c>
      <c r="B102" s="5" t="s">
        <v>177</v>
      </c>
      <c r="C102" s="5"/>
      <c r="D102" s="4">
        <v>0</v>
      </c>
      <c r="E102" s="4"/>
      <c r="F102" s="4">
        <v>0</v>
      </c>
      <c r="G102" s="1"/>
      <c r="I102" s="1"/>
    </row>
    <row r="103" spans="1:9" x14ac:dyDescent="0.25">
      <c r="A103" s="1" t="s">
        <v>176</v>
      </c>
      <c r="B103" s="5" t="s">
        <v>175</v>
      </c>
      <c r="C103" s="5"/>
      <c r="D103" s="4">
        <v>301482.59999999998</v>
      </c>
      <c r="E103" s="4"/>
      <c r="F103" s="4">
        <v>0</v>
      </c>
      <c r="G103" s="1"/>
      <c r="I103" s="1"/>
    </row>
    <row r="104" spans="1:9" x14ac:dyDescent="0.25">
      <c r="A104" s="1" t="s">
        <v>174</v>
      </c>
      <c r="B104" s="5" t="s">
        <v>173</v>
      </c>
      <c r="C104" s="5"/>
      <c r="D104" s="4">
        <v>22073.4</v>
      </c>
      <c r="E104" s="4"/>
      <c r="F104" s="4">
        <v>0</v>
      </c>
      <c r="G104" s="1"/>
      <c r="I104" s="1"/>
    </row>
    <row r="105" spans="1:9" x14ac:dyDescent="0.25">
      <c r="A105" s="1"/>
      <c r="B105" s="3" t="s">
        <v>164</v>
      </c>
      <c r="C105" s="3"/>
      <c r="D105" s="2">
        <v>407689.68</v>
      </c>
      <c r="E105" s="2"/>
      <c r="F105" s="2">
        <v>33684.33</v>
      </c>
      <c r="G105" s="1"/>
      <c r="I105" s="1"/>
    </row>
    <row r="106" spans="1:9" x14ac:dyDescent="0.25">
      <c r="A106" s="171"/>
      <c r="B106" s="171"/>
      <c r="C106" s="171"/>
      <c r="D106" s="171"/>
      <c r="E106" s="171"/>
      <c r="F106" s="171"/>
      <c r="G106" s="171"/>
      <c r="I106" s="1"/>
    </row>
    <row r="107" spans="1:9" x14ac:dyDescent="0.25">
      <c r="A107" s="1"/>
      <c r="B107" s="3" t="s">
        <v>185</v>
      </c>
      <c r="C107" s="3"/>
      <c r="D107" s="6" t="s">
        <v>184</v>
      </c>
      <c r="E107" s="6"/>
      <c r="F107" s="6" t="s">
        <v>163</v>
      </c>
      <c r="G107" s="1"/>
      <c r="I107" s="1"/>
    </row>
    <row r="108" spans="1:9" x14ac:dyDescent="0.25">
      <c r="A108" s="1" t="s">
        <v>182</v>
      </c>
      <c r="B108" s="5" t="s">
        <v>181</v>
      </c>
      <c r="C108" s="5"/>
      <c r="D108" s="4">
        <v>84180.56</v>
      </c>
      <c r="E108" s="4"/>
      <c r="F108" s="4">
        <v>33684.33</v>
      </c>
      <c r="G108" s="1"/>
      <c r="I108" s="1"/>
    </row>
    <row r="109" spans="1:9" x14ac:dyDescent="0.25">
      <c r="A109" s="1" t="s">
        <v>180</v>
      </c>
      <c r="B109" s="5" t="s">
        <v>179</v>
      </c>
      <c r="C109" s="5"/>
      <c r="D109" s="4">
        <v>-46.88</v>
      </c>
      <c r="E109" s="4"/>
      <c r="F109" s="4">
        <v>0</v>
      </c>
      <c r="G109" s="1"/>
      <c r="I109" s="1"/>
    </row>
    <row r="110" spans="1:9" x14ac:dyDescent="0.25">
      <c r="A110" s="1" t="s">
        <v>178</v>
      </c>
      <c r="B110" s="5" t="s">
        <v>177</v>
      </c>
      <c r="C110" s="5"/>
      <c r="D110" s="4">
        <v>0</v>
      </c>
      <c r="E110" s="4"/>
      <c r="F110" s="4">
        <v>0</v>
      </c>
      <c r="G110" s="1"/>
      <c r="I110" s="1"/>
    </row>
    <row r="111" spans="1:9" x14ac:dyDescent="0.25">
      <c r="A111" s="1" t="s">
        <v>176</v>
      </c>
      <c r="B111" s="5" t="s">
        <v>175</v>
      </c>
      <c r="C111" s="5"/>
      <c r="D111" s="4">
        <v>301482.59999999998</v>
      </c>
      <c r="E111" s="4"/>
      <c r="F111" s="4">
        <v>0</v>
      </c>
      <c r="G111" s="1"/>
      <c r="I111" s="1"/>
    </row>
    <row r="112" spans="1:9" x14ac:dyDescent="0.25">
      <c r="A112" s="1" t="s">
        <v>174</v>
      </c>
      <c r="B112" s="5" t="s">
        <v>173</v>
      </c>
      <c r="C112" s="5"/>
      <c r="D112" s="4">
        <v>22073.4</v>
      </c>
      <c r="E112" s="4"/>
      <c r="F112" s="4">
        <v>0</v>
      </c>
      <c r="G112" s="1"/>
      <c r="I112" s="1"/>
    </row>
    <row r="113" spans="1:9" x14ac:dyDescent="0.25">
      <c r="A113" s="1"/>
      <c r="B113" s="3" t="s">
        <v>164</v>
      </c>
      <c r="C113" s="3"/>
      <c r="D113" s="2">
        <v>407689.68</v>
      </c>
      <c r="E113" s="2"/>
      <c r="F113" s="2">
        <v>33684.33</v>
      </c>
      <c r="G113" s="1"/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x14ac:dyDescent="0.25">
      <c r="I120" s="1"/>
    </row>
    <row r="121" spans="1:9" x14ac:dyDescent="0.25">
      <c r="I121" s="1"/>
    </row>
    <row r="122" spans="1:9" x14ac:dyDescent="0.25">
      <c r="I122" s="1"/>
    </row>
    <row r="123" spans="1:9" x14ac:dyDescent="0.25">
      <c r="I123" s="1"/>
    </row>
    <row r="124" spans="1:9" x14ac:dyDescent="0.25">
      <c r="I124" s="1"/>
    </row>
    <row r="125" spans="1:9" x14ac:dyDescent="0.25">
      <c r="I125" s="1"/>
    </row>
  </sheetData>
  <mergeCells count="6">
    <mergeCell ref="A106:G106"/>
    <mergeCell ref="A1:G1"/>
    <mergeCell ref="A2:G2"/>
    <mergeCell ref="A3:G3"/>
    <mergeCell ref="A4:G4"/>
    <mergeCell ref="A98:G98"/>
  </mergeCells>
  <printOptions gridLines="1"/>
  <pageMargins left="0.7" right="0.7" top="0.7" bottom="0.7" header="0.5" footer="0.5"/>
  <pageSetup fitToHeight="990" orientation="portrait" verticalDpi="0" r:id="rId1"/>
  <headerFooter>
    <oddHeader>&amp;R&amp;B&amp;D &amp;T</oddHeader>
    <oddFooter>&amp;C&amp;B Page &amp;P of &amp;N</oddFooter>
  </headerFooter>
  <rowBreaks count="1" manualBreakCount="1">
    <brk id="3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workbookViewId="0">
      <pane xSplit="3" ySplit="2" topLeftCell="D29" activePane="bottomRight" state="frozen"/>
      <selection pane="topRight" activeCell="D1" sqref="D1"/>
      <selection pane="bottomLeft" activeCell="A3" sqref="A3"/>
      <selection pane="bottomRight" activeCell="O41" sqref="O41:O52"/>
    </sheetView>
  </sheetViews>
  <sheetFormatPr defaultRowHeight="15" x14ac:dyDescent="0.25"/>
  <cols>
    <col min="1" max="1" width="36.42578125" bestFit="1" customWidth="1"/>
    <col min="2" max="2" width="14.28515625" bestFit="1" customWidth="1"/>
    <col min="5" max="5" width="6.28515625" style="182" customWidth="1"/>
    <col min="6" max="6" width="14.42578125" style="183" bestFit="1" customWidth="1"/>
    <col min="7" max="7" width="17.42578125" bestFit="1" customWidth="1"/>
    <col min="8" max="8" width="17.42578125" style="185" bestFit="1" customWidth="1"/>
    <col min="9" max="9" width="12.85546875" style="185" bestFit="1" customWidth="1"/>
    <col min="10" max="10" width="14.140625" style="185" bestFit="1" customWidth="1"/>
    <col min="11" max="12" width="15.42578125" bestFit="1" customWidth="1"/>
    <col min="13" max="13" width="17.42578125" bestFit="1" customWidth="1"/>
  </cols>
  <sheetData>
    <row r="2" spans="1:13" ht="30" x14ac:dyDescent="0.25">
      <c r="E2" s="179"/>
      <c r="F2" s="180" t="s">
        <v>287</v>
      </c>
      <c r="G2" s="179" t="s">
        <v>184</v>
      </c>
      <c r="H2" s="181" t="s">
        <v>288</v>
      </c>
      <c r="I2" s="181" t="s">
        <v>289</v>
      </c>
      <c r="J2" s="181" t="s">
        <v>290</v>
      </c>
      <c r="K2" s="179" t="s">
        <v>291</v>
      </c>
      <c r="L2" s="179" t="s">
        <v>292</v>
      </c>
      <c r="M2" s="179" t="s">
        <v>183</v>
      </c>
    </row>
    <row r="3" spans="1:13" x14ac:dyDescent="0.25">
      <c r="A3" t="s">
        <v>508</v>
      </c>
      <c r="B3" s="133">
        <v>1.49E-2</v>
      </c>
      <c r="E3" s="182">
        <v>1</v>
      </c>
      <c r="F3" s="183">
        <v>41588</v>
      </c>
      <c r="G3" s="184">
        <f>$B$9</f>
        <v>3000000</v>
      </c>
      <c r="H3" s="185">
        <f t="shared" ref="H3:H59" si="0">$B$12</f>
        <v>14322.46</v>
      </c>
      <c r="I3" s="190">
        <f>PPMT(B10/12,E3,$B$11,-$B$9)</f>
        <v>4322.4588639637841</v>
      </c>
      <c r="J3" s="185">
        <f>H3-I3</f>
        <v>10000.001136036215</v>
      </c>
      <c r="K3" s="185">
        <f>I3</f>
        <v>4322.4588639637841</v>
      </c>
      <c r="L3" s="185">
        <f>J3</f>
        <v>10000.001136036215</v>
      </c>
      <c r="M3" s="184">
        <f>$G3-$I3</f>
        <v>2995677.5411360362</v>
      </c>
    </row>
    <row r="4" spans="1:13" x14ac:dyDescent="0.25">
      <c r="A4" t="s">
        <v>509</v>
      </c>
      <c r="B4" s="133">
        <v>0.124</v>
      </c>
      <c r="E4" s="182">
        <v>2</v>
      </c>
      <c r="F4" s="183">
        <v>41618</v>
      </c>
      <c r="G4" s="184">
        <f>$M3</f>
        <v>2995677.5411360362</v>
      </c>
      <c r="H4" s="185">
        <f t="shared" si="0"/>
        <v>14322.46</v>
      </c>
      <c r="I4" s="185">
        <f t="shared" ref="I4:I59" si="1">$H4-$J4</f>
        <v>4336.869999999999</v>
      </c>
      <c r="J4" s="185">
        <f t="shared" ref="J4:J59" si="2">ROUND($G4*($B$10/12), 2)</f>
        <v>9985.59</v>
      </c>
      <c r="K4" s="184">
        <f>$I4+$K3</f>
        <v>8659.3288639637831</v>
      </c>
      <c r="L4" s="184">
        <f>$J4+$L3</f>
        <v>19985.591136036215</v>
      </c>
      <c r="M4" s="184">
        <f t="shared" ref="M4:M59" si="3">$G4-$I4</f>
        <v>2991340.671136036</v>
      </c>
    </row>
    <row r="5" spans="1:13" x14ac:dyDescent="0.25">
      <c r="A5" t="s">
        <v>278</v>
      </c>
      <c r="B5" s="185">
        <v>96000</v>
      </c>
      <c r="E5" s="182">
        <v>3</v>
      </c>
      <c r="F5" s="183">
        <v>41649</v>
      </c>
      <c r="G5" s="184">
        <f t="shared" ref="G5:G59" si="4">$M4</f>
        <v>2991340.671136036</v>
      </c>
      <c r="H5" s="185">
        <f t="shared" si="0"/>
        <v>14322.46</v>
      </c>
      <c r="I5" s="185">
        <f t="shared" si="1"/>
        <v>4351.32</v>
      </c>
      <c r="J5" s="185">
        <f t="shared" si="2"/>
        <v>9971.14</v>
      </c>
      <c r="K5" s="184">
        <f t="shared" ref="K5:K59" si="5">$I5+$K4</f>
        <v>13010.648863963783</v>
      </c>
      <c r="L5" s="184">
        <f t="shared" ref="L5:L59" si="6">$J5+$L4</f>
        <v>29956.731136036215</v>
      </c>
      <c r="M5" s="184">
        <f t="shared" si="3"/>
        <v>2986989.3511360362</v>
      </c>
    </row>
    <row r="6" spans="1:13" x14ac:dyDescent="0.25">
      <c r="E6" s="182">
        <v>4</v>
      </c>
      <c r="F6" s="183">
        <v>41680</v>
      </c>
      <c r="G6" s="184">
        <f t="shared" si="4"/>
        <v>2986989.3511360362</v>
      </c>
      <c r="H6" s="185">
        <f t="shared" si="0"/>
        <v>14322.46</v>
      </c>
      <c r="I6" s="185">
        <f t="shared" si="1"/>
        <v>4365.83</v>
      </c>
      <c r="J6" s="185">
        <f t="shared" si="2"/>
        <v>9956.6299999999992</v>
      </c>
      <c r="K6" s="184">
        <f t="shared" si="5"/>
        <v>17376.478863963785</v>
      </c>
      <c r="L6" s="184">
        <f t="shared" si="6"/>
        <v>39913.361136036212</v>
      </c>
      <c r="M6" s="184">
        <f t="shared" si="3"/>
        <v>2982623.5211360361</v>
      </c>
    </row>
    <row r="7" spans="1:13" x14ac:dyDescent="0.25">
      <c r="E7" s="182">
        <v>5</v>
      </c>
      <c r="F7" s="183">
        <v>41708</v>
      </c>
      <c r="G7" s="184">
        <f t="shared" si="4"/>
        <v>2982623.5211360361</v>
      </c>
      <c r="H7" s="185">
        <f t="shared" si="0"/>
        <v>14322.46</v>
      </c>
      <c r="I7" s="185">
        <f t="shared" si="1"/>
        <v>4380.3799999999992</v>
      </c>
      <c r="J7" s="185">
        <f t="shared" si="2"/>
        <v>9942.08</v>
      </c>
      <c r="K7" s="184">
        <f t="shared" si="5"/>
        <v>21756.858863963782</v>
      </c>
      <c r="L7" s="184">
        <f t="shared" si="6"/>
        <v>49855.441136036214</v>
      </c>
      <c r="M7" s="184">
        <f t="shared" si="3"/>
        <v>2978243.1411360363</v>
      </c>
    </row>
    <row r="8" spans="1:13" x14ac:dyDescent="0.25">
      <c r="E8" s="182">
        <v>6</v>
      </c>
      <c r="F8" s="183">
        <v>41739</v>
      </c>
      <c r="G8" s="184">
        <f t="shared" si="4"/>
        <v>2978243.1411360363</v>
      </c>
      <c r="H8" s="185">
        <f t="shared" si="0"/>
        <v>14322.46</v>
      </c>
      <c r="I8" s="185">
        <f t="shared" si="1"/>
        <v>4394.9799999999996</v>
      </c>
      <c r="J8" s="185">
        <f t="shared" si="2"/>
        <v>9927.48</v>
      </c>
      <c r="K8" s="184">
        <f t="shared" si="5"/>
        <v>26151.838863963781</v>
      </c>
      <c r="L8" s="184">
        <f t="shared" si="6"/>
        <v>59782.92113603621</v>
      </c>
      <c r="M8" s="184">
        <f t="shared" si="3"/>
        <v>2973848.1611360363</v>
      </c>
    </row>
    <row r="9" spans="1:13" x14ac:dyDescent="0.25">
      <c r="A9" s="183" t="s">
        <v>293</v>
      </c>
      <c r="B9" s="185">
        <v>3000000</v>
      </c>
      <c r="E9" s="182">
        <v>7</v>
      </c>
      <c r="F9" s="183">
        <v>41769</v>
      </c>
      <c r="G9" s="184">
        <f t="shared" si="4"/>
        <v>2973848.1611360363</v>
      </c>
      <c r="H9" s="185">
        <f t="shared" si="0"/>
        <v>14322.46</v>
      </c>
      <c r="I9" s="185">
        <f t="shared" si="1"/>
        <v>4409.6299999999992</v>
      </c>
      <c r="J9" s="185">
        <f t="shared" si="2"/>
        <v>9912.83</v>
      </c>
      <c r="K9" s="184">
        <f t="shared" si="5"/>
        <v>30561.468863963782</v>
      </c>
      <c r="L9" s="184">
        <f t="shared" si="6"/>
        <v>69695.751136036211</v>
      </c>
      <c r="M9" s="184">
        <f t="shared" si="3"/>
        <v>2969438.5311360364</v>
      </c>
    </row>
    <row r="10" spans="1:13" x14ac:dyDescent="0.25">
      <c r="A10" s="183" t="s">
        <v>294</v>
      </c>
      <c r="B10" s="133">
        <v>0.04</v>
      </c>
      <c r="E10" s="182">
        <v>8</v>
      </c>
      <c r="F10" s="183">
        <v>41800</v>
      </c>
      <c r="G10" s="184">
        <f t="shared" si="4"/>
        <v>2969438.5311360364</v>
      </c>
      <c r="H10" s="185">
        <f t="shared" si="0"/>
        <v>14322.46</v>
      </c>
      <c r="I10" s="185">
        <f t="shared" si="1"/>
        <v>4424.33</v>
      </c>
      <c r="J10" s="185">
        <f t="shared" si="2"/>
        <v>9898.1299999999992</v>
      </c>
      <c r="K10" s="184">
        <f t="shared" si="5"/>
        <v>34985.798863963784</v>
      </c>
      <c r="L10" s="184">
        <f t="shared" si="6"/>
        <v>79593.881136036216</v>
      </c>
      <c r="M10" s="184">
        <f t="shared" si="3"/>
        <v>2965014.2011360363</v>
      </c>
    </row>
    <row r="11" spans="1:13" x14ac:dyDescent="0.25">
      <c r="A11" s="183" t="s">
        <v>296</v>
      </c>
      <c r="B11">
        <v>360</v>
      </c>
      <c r="E11" s="182">
        <v>9</v>
      </c>
      <c r="F11" s="183">
        <v>41830</v>
      </c>
      <c r="G11" s="184">
        <f t="shared" si="4"/>
        <v>2965014.2011360363</v>
      </c>
      <c r="H11" s="185">
        <f t="shared" si="0"/>
        <v>14322.46</v>
      </c>
      <c r="I11" s="185">
        <f t="shared" si="1"/>
        <v>4439.08</v>
      </c>
      <c r="J11" s="185">
        <f t="shared" si="2"/>
        <v>9883.3799999999992</v>
      </c>
      <c r="K11" s="184">
        <f t="shared" si="5"/>
        <v>39424.878863963786</v>
      </c>
      <c r="L11" s="184">
        <f t="shared" si="6"/>
        <v>89477.261136036221</v>
      </c>
      <c r="M11" s="184">
        <f t="shared" si="3"/>
        <v>2960575.1211360362</v>
      </c>
    </row>
    <row r="12" spans="1:13" x14ac:dyDescent="0.25">
      <c r="A12" s="183" t="s">
        <v>295</v>
      </c>
      <c r="B12" s="186">
        <f>ROUND(PMT($B$10/12,$B$11,-$B$9,0), 2)</f>
        <v>14322.46</v>
      </c>
      <c r="E12" s="182">
        <v>10</v>
      </c>
      <c r="F12" s="183">
        <v>41861</v>
      </c>
      <c r="G12" s="184">
        <f t="shared" si="4"/>
        <v>2960575.1211360362</v>
      </c>
      <c r="H12" s="185">
        <f t="shared" si="0"/>
        <v>14322.46</v>
      </c>
      <c r="I12" s="185">
        <f t="shared" si="1"/>
        <v>4453.8799999999992</v>
      </c>
      <c r="J12" s="185">
        <f t="shared" si="2"/>
        <v>9868.58</v>
      </c>
      <c r="K12" s="184">
        <f t="shared" si="5"/>
        <v>43878.758863963783</v>
      </c>
      <c r="L12" s="184">
        <f t="shared" si="6"/>
        <v>99345.841136036222</v>
      </c>
      <c r="M12" s="184">
        <f t="shared" si="3"/>
        <v>2956121.2411360363</v>
      </c>
    </row>
    <row r="13" spans="1:13" x14ac:dyDescent="0.25">
      <c r="E13" s="182">
        <v>11</v>
      </c>
      <c r="F13" s="183">
        <v>41892</v>
      </c>
      <c r="G13" s="184">
        <f t="shared" si="4"/>
        <v>2956121.2411360363</v>
      </c>
      <c r="H13" s="185">
        <f t="shared" si="0"/>
        <v>14322.46</v>
      </c>
      <c r="I13" s="185">
        <f t="shared" si="1"/>
        <v>4468.7199999999993</v>
      </c>
      <c r="J13" s="185">
        <f t="shared" si="2"/>
        <v>9853.74</v>
      </c>
      <c r="K13" s="184">
        <f t="shared" si="5"/>
        <v>48347.478863963785</v>
      </c>
      <c r="L13" s="184">
        <f t="shared" si="6"/>
        <v>109199.58113603623</v>
      </c>
      <c r="M13" s="184">
        <f t="shared" si="3"/>
        <v>2951652.5211360361</v>
      </c>
    </row>
    <row r="14" spans="1:13" s="179" customFormat="1" x14ac:dyDescent="0.25">
      <c r="E14" s="182">
        <v>12</v>
      </c>
      <c r="F14" s="183">
        <v>41922</v>
      </c>
      <c r="G14" s="184">
        <f t="shared" si="4"/>
        <v>2951652.5211360361</v>
      </c>
      <c r="H14" s="185">
        <f t="shared" si="0"/>
        <v>14322.46</v>
      </c>
      <c r="I14" s="185">
        <f t="shared" si="1"/>
        <v>4483.619999999999</v>
      </c>
      <c r="J14" s="185">
        <f t="shared" si="2"/>
        <v>9838.84</v>
      </c>
      <c r="K14" s="184">
        <f t="shared" si="5"/>
        <v>52831.09886396378</v>
      </c>
      <c r="L14" s="184">
        <f t="shared" si="6"/>
        <v>119038.42113603622</v>
      </c>
      <c r="M14" s="184">
        <f t="shared" si="3"/>
        <v>2947168.901136036</v>
      </c>
    </row>
    <row r="15" spans="1:13" x14ac:dyDescent="0.25">
      <c r="E15" s="182">
        <v>13</v>
      </c>
      <c r="F15" s="183">
        <v>41953</v>
      </c>
      <c r="G15" s="184">
        <f t="shared" si="4"/>
        <v>2947168.901136036</v>
      </c>
      <c r="H15" s="185">
        <f t="shared" si="0"/>
        <v>14322.46</v>
      </c>
      <c r="I15" s="185">
        <f t="shared" si="1"/>
        <v>4498.5599999999995</v>
      </c>
      <c r="J15" s="185">
        <f t="shared" si="2"/>
        <v>9823.9</v>
      </c>
      <c r="K15" s="184">
        <f t="shared" si="5"/>
        <v>57329.658863963778</v>
      </c>
      <c r="L15" s="184">
        <f t="shared" si="6"/>
        <v>128862.32113603622</v>
      </c>
      <c r="M15" s="184">
        <f t="shared" si="3"/>
        <v>2942670.341136036</v>
      </c>
    </row>
    <row r="16" spans="1:13" x14ac:dyDescent="0.25">
      <c r="A16" t="s">
        <v>510</v>
      </c>
      <c r="B16" s="185">
        <v>42165</v>
      </c>
      <c r="E16" s="182">
        <v>14</v>
      </c>
      <c r="F16" s="183">
        <v>41983</v>
      </c>
      <c r="G16" s="184">
        <f t="shared" si="4"/>
        <v>2942670.341136036</v>
      </c>
      <c r="H16" s="185">
        <f t="shared" si="0"/>
        <v>14322.46</v>
      </c>
      <c r="I16" s="185">
        <f t="shared" si="1"/>
        <v>4513.5599999999995</v>
      </c>
      <c r="J16" s="185">
        <f t="shared" si="2"/>
        <v>9808.9</v>
      </c>
      <c r="K16" s="184">
        <f t="shared" si="5"/>
        <v>61843.218863963775</v>
      </c>
      <c r="L16" s="184">
        <f t="shared" si="6"/>
        <v>138671.22113603621</v>
      </c>
      <c r="M16" s="184">
        <f t="shared" si="3"/>
        <v>2938156.7811360359</v>
      </c>
    </row>
    <row r="17" spans="1:13" x14ac:dyDescent="0.25">
      <c r="A17" t="s">
        <v>511</v>
      </c>
      <c r="B17" s="185">
        <f>(B16*5)*0.05</f>
        <v>10541.25</v>
      </c>
      <c r="E17" s="182">
        <v>15</v>
      </c>
      <c r="F17" s="183">
        <v>42014</v>
      </c>
      <c r="G17" s="184">
        <f t="shared" si="4"/>
        <v>2938156.7811360359</v>
      </c>
      <c r="H17" s="185">
        <f t="shared" si="0"/>
        <v>14322.46</v>
      </c>
      <c r="I17" s="185">
        <f t="shared" si="1"/>
        <v>4528.5999999999985</v>
      </c>
      <c r="J17" s="185">
        <f t="shared" si="2"/>
        <v>9793.86</v>
      </c>
      <c r="K17" s="184">
        <f t="shared" si="5"/>
        <v>66371.818863963766</v>
      </c>
      <c r="L17" s="184">
        <f t="shared" si="6"/>
        <v>148465.0811360362</v>
      </c>
      <c r="M17" s="184">
        <f t="shared" si="3"/>
        <v>2933628.1811360358</v>
      </c>
    </row>
    <row r="18" spans="1:13" x14ac:dyDescent="0.25">
      <c r="A18" t="s">
        <v>512</v>
      </c>
      <c r="B18" s="184">
        <f>$B$17/4</f>
        <v>2635.3125</v>
      </c>
      <c r="E18" s="182">
        <v>16</v>
      </c>
      <c r="F18" s="183">
        <v>42045</v>
      </c>
      <c r="G18" s="184">
        <f t="shared" si="4"/>
        <v>2933628.1811360358</v>
      </c>
      <c r="H18" s="185">
        <f t="shared" si="0"/>
        <v>14322.46</v>
      </c>
      <c r="I18" s="185">
        <f t="shared" si="1"/>
        <v>4543.6999999999989</v>
      </c>
      <c r="J18" s="185">
        <f t="shared" si="2"/>
        <v>9778.76</v>
      </c>
      <c r="K18" s="184">
        <f t="shared" si="5"/>
        <v>70915.518863963764</v>
      </c>
      <c r="L18" s="184">
        <f t="shared" si="6"/>
        <v>158243.84113603621</v>
      </c>
      <c r="M18" s="184">
        <f t="shared" si="3"/>
        <v>2929084.4811360356</v>
      </c>
    </row>
    <row r="19" spans="1:13" x14ac:dyDescent="0.25">
      <c r="A19" t="s">
        <v>513</v>
      </c>
      <c r="B19" s="184">
        <f t="shared" ref="B19:B21" si="7">$B$17/4</f>
        <v>2635.3125</v>
      </c>
      <c r="E19" s="182">
        <v>17</v>
      </c>
      <c r="F19" s="183">
        <v>42073</v>
      </c>
      <c r="G19" s="184">
        <f t="shared" si="4"/>
        <v>2929084.4811360356</v>
      </c>
      <c r="H19" s="185">
        <f t="shared" si="0"/>
        <v>14322.46</v>
      </c>
      <c r="I19" s="185">
        <f t="shared" si="1"/>
        <v>4558.8499999999985</v>
      </c>
      <c r="J19" s="185">
        <f t="shared" si="2"/>
        <v>9763.61</v>
      </c>
      <c r="K19" s="184">
        <f t="shared" si="5"/>
        <v>75474.368863963755</v>
      </c>
      <c r="L19" s="184">
        <f t="shared" si="6"/>
        <v>168007.45113603619</v>
      </c>
      <c r="M19" s="184">
        <f t="shared" si="3"/>
        <v>2924525.6311360355</v>
      </c>
    </row>
    <row r="20" spans="1:13" x14ac:dyDescent="0.25">
      <c r="A20" t="s">
        <v>514</v>
      </c>
      <c r="B20" s="184">
        <f t="shared" si="7"/>
        <v>2635.3125</v>
      </c>
      <c r="E20" s="182">
        <v>18</v>
      </c>
      <c r="F20" s="183">
        <v>42104</v>
      </c>
      <c r="G20" s="184">
        <f t="shared" si="4"/>
        <v>2924525.6311360355</v>
      </c>
      <c r="H20" s="185">
        <f t="shared" si="0"/>
        <v>14322.46</v>
      </c>
      <c r="I20" s="185">
        <f t="shared" si="1"/>
        <v>4574.0399999999991</v>
      </c>
      <c r="J20" s="185">
        <f t="shared" si="2"/>
        <v>9748.42</v>
      </c>
      <c r="K20" s="184">
        <f t="shared" si="5"/>
        <v>80048.408863963748</v>
      </c>
      <c r="L20" s="184">
        <f t="shared" si="6"/>
        <v>177755.87113603621</v>
      </c>
      <c r="M20" s="184">
        <f t="shared" si="3"/>
        <v>2919951.5911360355</v>
      </c>
    </row>
    <row r="21" spans="1:13" x14ac:dyDescent="0.25">
      <c r="A21" t="s">
        <v>515</v>
      </c>
      <c r="B21" s="184">
        <f t="shared" si="7"/>
        <v>2635.3125</v>
      </c>
      <c r="E21" s="182">
        <v>19</v>
      </c>
      <c r="F21" s="183">
        <v>42134</v>
      </c>
      <c r="G21" s="184">
        <f t="shared" si="4"/>
        <v>2919951.5911360355</v>
      </c>
      <c r="H21" s="185">
        <f t="shared" si="0"/>
        <v>14322.46</v>
      </c>
      <c r="I21" s="185">
        <f t="shared" si="1"/>
        <v>4589.2899999999991</v>
      </c>
      <c r="J21" s="185">
        <f t="shared" si="2"/>
        <v>9733.17</v>
      </c>
      <c r="K21" s="184">
        <f t="shared" si="5"/>
        <v>84637.698863963742</v>
      </c>
      <c r="L21" s="184">
        <f t="shared" si="6"/>
        <v>187489.04113603622</v>
      </c>
      <c r="M21" s="184">
        <f t="shared" si="3"/>
        <v>2915362.3011360355</v>
      </c>
    </row>
    <row r="22" spans="1:13" x14ac:dyDescent="0.25">
      <c r="E22" s="182">
        <v>20</v>
      </c>
      <c r="F22" s="183">
        <v>42165</v>
      </c>
      <c r="G22" s="184">
        <f t="shared" si="4"/>
        <v>2915362.3011360355</v>
      </c>
      <c r="H22" s="185">
        <f t="shared" si="0"/>
        <v>14322.46</v>
      </c>
      <c r="I22" s="185">
        <f t="shared" si="1"/>
        <v>4604.5899999999983</v>
      </c>
      <c r="J22" s="185">
        <f t="shared" si="2"/>
        <v>9717.8700000000008</v>
      </c>
      <c r="K22" s="184">
        <f t="shared" si="5"/>
        <v>89242.288863963739</v>
      </c>
      <c r="L22" s="184">
        <f t="shared" si="6"/>
        <v>197206.91113603621</v>
      </c>
      <c r="M22" s="184">
        <f t="shared" si="3"/>
        <v>2910757.7111360356</v>
      </c>
    </row>
    <row r="23" spans="1:13" x14ac:dyDescent="0.25">
      <c r="E23" s="182">
        <v>21</v>
      </c>
      <c r="F23" s="183">
        <v>42195</v>
      </c>
      <c r="G23" s="184">
        <f t="shared" si="4"/>
        <v>2910757.7111360356</v>
      </c>
      <c r="H23" s="185">
        <f t="shared" si="0"/>
        <v>14322.46</v>
      </c>
      <c r="I23" s="185">
        <f t="shared" si="1"/>
        <v>4619.9299999999985</v>
      </c>
      <c r="J23" s="185">
        <f t="shared" si="2"/>
        <v>9702.5300000000007</v>
      </c>
      <c r="K23" s="184">
        <f t="shared" si="5"/>
        <v>93862.218863963732</v>
      </c>
      <c r="L23" s="184">
        <f t="shared" si="6"/>
        <v>206909.44113603621</v>
      </c>
      <c r="M23" s="184">
        <f t="shared" si="3"/>
        <v>2906137.7811360355</v>
      </c>
    </row>
    <row r="24" spans="1:13" x14ac:dyDescent="0.25">
      <c r="E24" s="182">
        <v>22</v>
      </c>
      <c r="F24" s="183">
        <v>42226</v>
      </c>
      <c r="G24" s="184">
        <f t="shared" si="4"/>
        <v>2906137.7811360355</v>
      </c>
      <c r="H24" s="185">
        <f t="shared" si="0"/>
        <v>14322.46</v>
      </c>
      <c r="I24" s="185">
        <f t="shared" si="1"/>
        <v>4635.33</v>
      </c>
      <c r="J24" s="185">
        <f t="shared" si="2"/>
        <v>9687.1299999999992</v>
      </c>
      <c r="K24" s="184">
        <f t="shared" si="5"/>
        <v>98497.548863963733</v>
      </c>
      <c r="L24" s="184">
        <f t="shared" si="6"/>
        <v>216596.57113603622</v>
      </c>
      <c r="M24" s="184">
        <f t="shared" si="3"/>
        <v>2901502.4511360354</v>
      </c>
    </row>
    <row r="25" spans="1:13" x14ac:dyDescent="0.25">
      <c r="E25" s="182">
        <v>23</v>
      </c>
      <c r="F25" s="183">
        <v>42257</v>
      </c>
      <c r="G25" s="184">
        <f t="shared" si="4"/>
        <v>2901502.4511360354</v>
      </c>
      <c r="H25" s="185">
        <f t="shared" si="0"/>
        <v>14322.46</v>
      </c>
      <c r="I25" s="185">
        <f t="shared" si="1"/>
        <v>4650.7899999999991</v>
      </c>
      <c r="J25" s="185">
        <f t="shared" si="2"/>
        <v>9671.67</v>
      </c>
      <c r="K25" s="184">
        <f t="shared" si="5"/>
        <v>103148.33886396373</v>
      </c>
      <c r="L25" s="184">
        <f t="shared" si="6"/>
        <v>226268.24113603623</v>
      </c>
      <c r="M25" s="184">
        <f t="shared" si="3"/>
        <v>2896851.6611360353</v>
      </c>
    </row>
    <row r="26" spans="1:13" x14ac:dyDescent="0.25">
      <c r="E26" s="182">
        <v>24</v>
      </c>
      <c r="F26" s="183">
        <v>42287</v>
      </c>
      <c r="G26" s="184">
        <f t="shared" si="4"/>
        <v>2896851.6611360353</v>
      </c>
      <c r="H26" s="185">
        <f t="shared" si="0"/>
        <v>14322.46</v>
      </c>
      <c r="I26" s="185">
        <f t="shared" si="1"/>
        <v>4666.2899999999991</v>
      </c>
      <c r="J26" s="185">
        <f t="shared" si="2"/>
        <v>9656.17</v>
      </c>
      <c r="K26" s="184">
        <f t="shared" si="5"/>
        <v>107814.62886396372</v>
      </c>
      <c r="L26" s="184">
        <f t="shared" si="6"/>
        <v>235924.41113603624</v>
      </c>
      <c r="M26" s="184">
        <f t="shared" si="3"/>
        <v>2892185.3711360353</v>
      </c>
    </row>
    <row r="27" spans="1:13" x14ac:dyDescent="0.25">
      <c r="E27" s="182">
        <v>25</v>
      </c>
      <c r="F27" s="183">
        <v>42318</v>
      </c>
      <c r="G27" s="184">
        <f t="shared" si="4"/>
        <v>2892185.3711360353</v>
      </c>
      <c r="H27" s="185">
        <f t="shared" si="0"/>
        <v>14322.46</v>
      </c>
      <c r="I27" s="185">
        <f t="shared" si="1"/>
        <v>4681.8399999999983</v>
      </c>
      <c r="J27" s="185">
        <f t="shared" si="2"/>
        <v>9640.6200000000008</v>
      </c>
      <c r="K27" s="184">
        <f t="shared" si="5"/>
        <v>112496.46886396372</v>
      </c>
      <c r="L27" s="184">
        <f t="shared" si="6"/>
        <v>245565.03113603624</v>
      </c>
      <c r="M27" s="184">
        <f t="shared" si="3"/>
        <v>2887503.5311360355</v>
      </c>
    </row>
    <row r="28" spans="1:13" x14ac:dyDescent="0.25">
      <c r="E28" s="187">
        <v>26</v>
      </c>
      <c r="F28" s="183">
        <v>42348</v>
      </c>
      <c r="G28" s="188">
        <f t="shared" si="4"/>
        <v>2887503.5311360355</v>
      </c>
      <c r="H28" s="189">
        <f t="shared" si="0"/>
        <v>14322.46</v>
      </c>
      <c r="I28" s="189">
        <f t="shared" si="1"/>
        <v>4697.4499999999989</v>
      </c>
      <c r="J28" s="189">
        <f t="shared" si="2"/>
        <v>9625.01</v>
      </c>
      <c r="K28" s="188">
        <f t="shared" si="5"/>
        <v>117193.91886396371</v>
      </c>
      <c r="L28" s="188">
        <f t="shared" si="6"/>
        <v>255190.04113603625</v>
      </c>
      <c r="M28" s="188">
        <f t="shared" si="3"/>
        <v>2882806.0811360353</v>
      </c>
    </row>
    <row r="29" spans="1:13" x14ac:dyDescent="0.25">
      <c r="E29" s="182">
        <v>27</v>
      </c>
      <c r="F29" s="183">
        <v>42379</v>
      </c>
      <c r="G29" s="184">
        <f t="shared" si="4"/>
        <v>2882806.0811360353</v>
      </c>
      <c r="H29" s="185">
        <f t="shared" si="0"/>
        <v>14322.46</v>
      </c>
      <c r="I29" s="185">
        <f t="shared" si="1"/>
        <v>4713.1099999999988</v>
      </c>
      <c r="J29" s="185">
        <f t="shared" si="2"/>
        <v>9609.35</v>
      </c>
      <c r="K29" s="184">
        <f t="shared" si="5"/>
        <v>121907.02886396371</v>
      </c>
      <c r="L29" s="184">
        <f t="shared" si="6"/>
        <v>264799.39113603625</v>
      </c>
      <c r="M29" s="184">
        <f t="shared" si="3"/>
        <v>2878092.9711360354</v>
      </c>
    </row>
    <row r="30" spans="1:13" x14ac:dyDescent="0.25">
      <c r="E30" s="182">
        <v>28</v>
      </c>
      <c r="F30" s="183">
        <v>42410</v>
      </c>
      <c r="G30" s="184">
        <f t="shared" si="4"/>
        <v>2878092.9711360354</v>
      </c>
      <c r="H30" s="185">
        <f t="shared" si="0"/>
        <v>14322.46</v>
      </c>
      <c r="I30" s="185">
        <f t="shared" si="1"/>
        <v>4728.82</v>
      </c>
      <c r="J30" s="185">
        <f t="shared" si="2"/>
        <v>9593.64</v>
      </c>
      <c r="K30" s="184">
        <f t="shared" si="5"/>
        <v>126635.84886396371</v>
      </c>
      <c r="L30" s="184">
        <f t="shared" si="6"/>
        <v>274393.03113603627</v>
      </c>
      <c r="M30" s="184">
        <f t="shared" si="3"/>
        <v>2873364.1511360356</v>
      </c>
    </row>
    <row r="31" spans="1:13" x14ac:dyDescent="0.25">
      <c r="E31" s="182">
        <v>29</v>
      </c>
      <c r="F31" s="183">
        <v>42439</v>
      </c>
      <c r="G31" s="184">
        <f t="shared" si="4"/>
        <v>2873364.1511360356</v>
      </c>
      <c r="H31" s="185">
        <f t="shared" si="0"/>
        <v>14322.46</v>
      </c>
      <c r="I31" s="185">
        <f t="shared" si="1"/>
        <v>4744.58</v>
      </c>
      <c r="J31" s="185">
        <f t="shared" si="2"/>
        <v>9577.8799999999992</v>
      </c>
      <c r="K31" s="184">
        <f t="shared" si="5"/>
        <v>131380.42886396369</v>
      </c>
      <c r="L31" s="184">
        <f t="shared" si="6"/>
        <v>283970.91113603627</v>
      </c>
      <c r="M31" s="184">
        <f t="shared" si="3"/>
        <v>2868619.5711360355</v>
      </c>
    </row>
    <row r="32" spans="1:13" x14ac:dyDescent="0.25">
      <c r="E32" s="182">
        <v>30</v>
      </c>
      <c r="F32" s="183">
        <v>42470</v>
      </c>
      <c r="G32" s="184">
        <f t="shared" si="4"/>
        <v>2868619.5711360355</v>
      </c>
      <c r="H32" s="185">
        <f t="shared" si="0"/>
        <v>14322.46</v>
      </c>
      <c r="I32" s="185">
        <f t="shared" si="1"/>
        <v>4760.3899999999994</v>
      </c>
      <c r="J32" s="185">
        <f t="shared" si="2"/>
        <v>9562.07</v>
      </c>
      <c r="K32" s="184">
        <f t="shared" si="5"/>
        <v>136140.81886396371</v>
      </c>
      <c r="L32" s="184">
        <f t="shared" si="6"/>
        <v>293532.98113603628</v>
      </c>
      <c r="M32" s="184">
        <f t="shared" si="3"/>
        <v>2863859.1811360354</v>
      </c>
    </row>
    <row r="33" spans="5:16" x14ac:dyDescent="0.25">
      <c r="E33" s="182">
        <v>31</v>
      </c>
      <c r="F33" s="183">
        <v>42500</v>
      </c>
      <c r="G33" s="184">
        <f t="shared" si="4"/>
        <v>2863859.1811360354</v>
      </c>
      <c r="H33" s="185">
        <f t="shared" si="0"/>
        <v>14322.46</v>
      </c>
      <c r="I33" s="185">
        <f t="shared" si="1"/>
        <v>4776.2599999999984</v>
      </c>
      <c r="J33" s="185">
        <f t="shared" si="2"/>
        <v>9546.2000000000007</v>
      </c>
      <c r="K33" s="184">
        <f t="shared" si="5"/>
        <v>140917.07886396372</v>
      </c>
      <c r="L33" s="184">
        <f t="shared" si="6"/>
        <v>303079.18113603629</v>
      </c>
      <c r="M33" s="184">
        <f t="shared" si="3"/>
        <v>2859082.9211360356</v>
      </c>
    </row>
    <row r="34" spans="5:16" x14ac:dyDescent="0.25">
      <c r="E34" s="182">
        <v>32</v>
      </c>
      <c r="F34" s="183">
        <v>42531</v>
      </c>
      <c r="G34" s="184">
        <f t="shared" si="4"/>
        <v>2859082.9211360356</v>
      </c>
      <c r="H34" s="185">
        <f t="shared" si="0"/>
        <v>14322.46</v>
      </c>
      <c r="I34" s="185">
        <f t="shared" si="1"/>
        <v>4792.1799999999985</v>
      </c>
      <c r="J34" s="185">
        <f t="shared" si="2"/>
        <v>9530.2800000000007</v>
      </c>
      <c r="K34" s="184">
        <f t="shared" si="5"/>
        <v>145709.25886396371</v>
      </c>
      <c r="L34" s="184">
        <f t="shared" si="6"/>
        <v>312609.46113603632</v>
      </c>
      <c r="M34" s="184">
        <f t="shared" si="3"/>
        <v>2854290.7411360354</v>
      </c>
    </row>
    <row r="35" spans="5:16" x14ac:dyDescent="0.25">
      <c r="E35" s="182">
        <v>33</v>
      </c>
      <c r="F35" s="183">
        <v>42561</v>
      </c>
      <c r="G35" s="184">
        <f t="shared" si="4"/>
        <v>2854290.7411360354</v>
      </c>
      <c r="H35" s="185">
        <f t="shared" si="0"/>
        <v>14322.46</v>
      </c>
      <c r="I35" s="185">
        <f t="shared" si="1"/>
        <v>4808.16</v>
      </c>
      <c r="J35" s="185">
        <f t="shared" si="2"/>
        <v>9514.2999999999993</v>
      </c>
      <c r="K35" s="184">
        <f t="shared" si="5"/>
        <v>150517.41886396371</v>
      </c>
      <c r="L35" s="184">
        <f t="shared" si="6"/>
        <v>322123.76113603631</v>
      </c>
      <c r="M35" s="184">
        <f t="shared" si="3"/>
        <v>2849482.5811360353</v>
      </c>
    </row>
    <row r="36" spans="5:16" x14ac:dyDescent="0.25">
      <c r="E36" s="182">
        <v>34</v>
      </c>
      <c r="F36" s="183">
        <v>42592</v>
      </c>
      <c r="G36" s="184">
        <f t="shared" si="4"/>
        <v>2849482.5811360353</v>
      </c>
      <c r="H36" s="185">
        <f t="shared" si="0"/>
        <v>14322.46</v>
      </c>
      <c r="I36" s="185">
        <f t="shared" si="1"/>
        <v>4824.1799999999985</v>
      </c>
      <c r="J36" s="185">
        <f t="shared" si="2"/>
        <v>9498.2800000000007</v>
      </c>
      <c r="K36" s="184">
        <f t="shared" si="5"/>
        <v>155341.59886396371</v>
      </c>
      <c r="L36" s="184">
        <f t="shared" si="6"/>
        <v>331622.04113603634</v>
      </c>
      <c r="M36" s="184">
        <f t="shared" si="3"/>
        <v>2844658.4011360351</v>
      </c>
    </row>
    <row r="37" spans="5:16" x14ac:dyDescent="0.25">
      <c r="E37" s="182">
        <v>35</v>
      </c>
      <c r="F37" s="183">
        <v>42623</v>
      </c>
      <c r="G37" s="184">
        <f t="shared" si="4"/>
        <v>2844658.4011360351</v>
      </c>
      <c r="H37" s="185">
        <f t="shared" si="0"/>
        <v>14322.46</v>
      </c>
      <c r="I37" s="185">
        <f t="shared" si="1"/>
        <v>4840.2699999999986</v>
      </c>
      <c r="J37" s="185">
        <f t="shared" si="2"/>
        <v>9482.19</v>
      </c>
      <c r="K37" s="184">
        <f t="shared" si="5"/>
        <v>160181.8688639637</v>
      </c>
      <c r="L37" s="184">
        <f t="shared" si="6"/>
        <v>341104.23113603634</v>
      </c>
      <c r="M37" s="184">
        <f t="shared" si="3"/>
        <v>2839818.1311360351</v>
      </c>
    </row>
    <row r="38" spans="5:16" x14ac:dyDescent="0.25">
      <c r="E38" s="182">
        <v>36</v>
      </c>
      <c r="F38" s="183">
        <v>42653</v>
      </c>
      <c r="G38" s="184">
        <f t="shared" si="4"/>
        <v>2839818.1311360351</v>
      </c>
      <c r="H38" s="185">
        <f t="shared" si="0"/>
        <v>14322.46</v>
      </c>
      <c r="I38" s="185">
        <f t="shared" si="1"/>
        <v>4856.3999999999996</v>
      </c>
      <c r="J38" s="185">
        <f t="shared" si="2"/>
        <v>9466.06</v>
      </c>
      <c r="K38" s="184">
        <f t="shared" si="5"/>
        <v>165038.26886396369</v>
      </c>
      <c r="L38" s="184">
        <f t="shared" si="6"/>
        <v>350570.29113603634</v>
      </c>
      <c r="M38" s="184">
        <f t="shared" si="3"/>
        <v>2834961.7311360352</v>
      </c>
    </row>
    <row r="39" spans="5:16" x14ac:dyDescent="0.25">
      <c r="E39" s="182">
        <v>37</v>
      </c>
      <c r="F39" s="183">
        <v>42684</v>
      </c>
      <c r="G39" s="184">
        <f t="shared" si="4"/>
        <v>2834961.7311360352</v>
      </c>
      <c r="H39" s="185">
        <f t="shared" si="0"/>
        <v>14322.46</v>
      </c>
      <c r="I39" s="185">
        <f t="shared" si="1"/>
        <v>4872.5899999999983</v>
      </c>
      <c r="J39" s="185">
        <f t="shared" si="2"/>
        <v>9449.8700000000008</v>
      </c>
      <c r="K39" s="184">
        <f t="shared" si="5"/>
        <v>169910.85886396369</v>
      </c>
      <c r="L39" s="184">
        <f t="shared" si="6"/>
        <v>360020.16113603633</v>
      </c>
      <c r="M39" s="184">
        <f t="shared" si="3"/>
        <v>2830089.1411360353</v>
      </c>
    </row>
    <row r="40" spans="5:16" x14ac:dyDescent="0.25">
      <c r="E40" s="182">
        <v>38</v>
      </c>
      <c r="F40" s="183">
        <v>42714</v>
      </c>
      <c r="G40" s="184">
        <f t="shared" si="4"/>
        <v>2830089.1411360353</v>
      </c>
      <c r="H40" s="185">
        <f t="shared" si="0"/>
        <v>14322.46</v>
      </c>
      <c r="I40" s="185">
        <f t="shared" si="1"/>
        <v>4888.83</v>
      </c>
      <c r="J40" s="185">
        <f t="shared" si="2"/>
        <v>9433.6299999999992</v>
      </c>
      <c r="K40" s="184">
        <f t="shared" si="5"/>
        <v>174799.68886396367</v>
      </c>
      <c r="L40" s="184">
        <f t="shared" si="6"/>
        <v>369453.79113603634</v>
      </c>
      <c r="M40" s="184">
        <f t="shared" si="3"/>
        <v>2825200.3111360352</v>
      </c>
    </row>
    <row r="41" spans="5:16" x14ac:dyDescent="0.25">
      <c r="E41" s="191">
        <v>39</v>
      </c>
      <c r="F41" s="192">
        <v>42745</v>
      </c>
      <c r="G41" s="193">
        <f t="shared" si="4"/>
        <v>2825200.3111360352</v>
      </c>
      <c r="H41" s="194">
        <f t="shared" si="0"/>
        <v>14322.46</v>
      </c>
      <c r="I41" s="194">
        <f t="shared" si="1"/>
        <v>4905.1299999999992</v>
      </c>
      <c r="J41" s="194">
        <f t="shared" si="2"/>
        <v>9417.33</v>
      </c>
      <c r="K41" s="193">
        <f t="shared" si="5"/>
        <v>179704.81886396368</v>
      </c>
      <c r="L41" s="193">
        <f t="shared" si="6"/>
        <v>378871.12113603635</v>
      </c>
      <c r="M41" s="193">
        <f t="shared" si="3"/>
        <v>2820295.1811360354</v>
      </c>
      <c r="O41">
        <v>9417.33</v>
      </c>
      <c r="P41">
        <f>-O41</f>
        <v>-9417.33</v>
      </c>
    </row>
    <row r="42" spans="5:16" x14ac:dyDescent="0.25">
      <c r="E42" s="191">
        <v>40</v>
      </c>
      <c r="F42" s="192">
        <v>42776</v>
      </c>
      <c r="G42" s="193">
        <f t="shared" si="4"/>
        <v>2820295.1811360354</v>
      </c>
      <c r="H42" s="194">
        <f t="shared" si="0"/>
        <v>14322.46</v>
      </c>
      <c r="I42" s="194">
        <f t="shared" si="1"/>
        <v>4921.4799999999996</v>
      </c>
      <c r="J42" s="194">
        <f t="shared" si="2"/>
        <v>9400.98</v>
      </c>
      <c r="K42" s="193">
        <f t="shared" si="5"/>
        <v>184626.29886396369</v>
      </c>
      <c r="L42" s="193">
        <f t="shared" si="6"/>
        <v>388272.10113603633</v>
      </c>
      <c r="M42" s="193">
        <f t="shared" si="3"/>
        <v>2815373.7011360354</v>
      </c>
      <c r="O42">
        <v>9400.98</v>
      </c>
      <c r="P42">
        <f t="shared" ref="P42:P52" si="8">-O42</f>
        <v>-9400.98</v>
      </c>
    </row>
    <row r="43" spans="5:16" x14ac:dyDescent="0.25">
      <c r="E43" s="191">
        <v>41</v>
      </c>
      <c r="F43" s="192">
        <v>42804</v>
      </c>
      <c r="G43" s="193">
        <f t="shared" si="4"/>
        <v>2815373.7011360354</v>
      </c>
      <c r="H43" s="194">
        <f t="shared" si="0"/>
        <v>14322.46</v>
      </c>
      <c r="I43" s="194">
        <f t="shared" si="1"/>
        <v>4937.8799999999992</v>
      </c>
      <c r="J43" s="194">
        <f t="shared" si="2"/>
        <v>9384.58</v>
      </c>
      <c r="K43" s="193">
        <f t="shared" si="5"/>
        <v>189564.17886396369</v>
      </c>
      <c r="L43" s="193">
        <f t="shared" si="6"/>
        <v>397656.68113603635</v>
      </c>
      <c r="M43" s="193">
        <f t="shared" si="3"/>
        <v>2810435.8211360355</v>
      </c>
      <c r="O43">
        <v>9384.58</v>
      </c>
      <c r="P43">
        <f t="shared" si="8"/>
        <v>-9384.58</v>
      </c>
    </row>
    <row r="44" spans="5:16" x14ac:dyDescent="0.25">
      <c r="E44" s="191">
        <v>42</v>
      </c>
      <c r="F44" s="192">
        <v>42835</v>
      </c>
      <c r="G44" s="193">
        <f t="shared" si="4"/>
        <v>2810435.8211360355</v>
      </c>
      <c r="H44" s="194">
        <f t="shared" si="0"/>
        <v>14322.46</v>
      </c>
      <c r="I44" s="194">
        <f t="shared" si="1"/>
        <v>4954.3399999999983</v>
      </c>
      <c r="J44" s="194">
        <f t="shared" si="2"/>
        <v>9368.1200000000008</v>
      </c>
      <c r="K44" s="193">
        <f t="shared" si="5"/>
        <v>194518.51886396369</v>
      </c>
      <c r="L44" s="193">
        <f t="shared" si="6"/>
        <v>407024.80113603635</v>
      </c>
      <c r="M44" s="193">
        <f t="shared" si="3"/>
        <v>2805481.4811360356</v>
      </c>
      <c r="O44">
        <v>9368.1200000000008</v>
      </c>
      <c r="P44">
        <f t="shared" si="8"/>
        <v>-9368.1200000000008</v>
      </c>
    </row>
    <row r="45" spans="5:16" x14ac:dyDescent="0.25">
      <c r="E45" s="191">
        <v>43</v>
      </c>
      <c r="F45" s="192">
        <v>42865</v>
      </c>
      <c r="G45" s="193">
        <f t="shared" si="4"/>
        <v>2805481.4811360356</v>
      </c>
      <c r="H45" s="194">
        <f t="shared" si="0"/>
        <v>14322.46</v>
      </c>
      <c r="I45" s="194">
        <f t="shared" si="1"/>
        <v>4970.8599999999988</v>
      </c>
      <c r="J45" s="194">
        <f t="shared" si="2"/>
        <v>9351.6</v>
      </c>
      <c r="K45" s="193">
        <f t="shared" si="5"/>
        <v>199489.37886396368</v>
      </c>
      <c r="L45" s="193">
        <f t="shared" si="6"/>
        <v>416376.40113603632</v>
      </c>
      <c r="M45" s="193">
        <f t="shared" si="3"/>
        <v>2800510.6211360358</v>
      </c>
      <c r="O45">
        <v>9351.6</v>
      </c>
      <c r="P45">
        <f t="shared" si="8"/>
        <v>-9351.6</v>
      </c>
    </row>
    <row r="46" spans="5:16" x14ac:dyDescent="0.25">
      <c r="E46" s="191">
        <v>44</v>
      </c>
      <c r="F46" s="192">
        <v>42896</v>
      </c>
      <c r="G46" s="193">
        <f t="shared" si="4"/>
        <v>2800510.6211360358</v>
      </c>
      <c r="H46" s="194">
        <f t="shared" si="0"/>
        <v>14322.46</v>
      </c>
      <c r="I46" s="194">
        <f t="shared" si="1"/>
        <v>4987.4199999999983</v>
      </c>
      <c r="J46" s="194">
        <f t="shared" si="2"/>
        <v>9335.0400000000009</v>
      </c>
      <c r="K46" s="193">
        <f t="shared" si="5"/>
        <v>204476.79886396369</v>
      </c>
      <c r="L46" s="193">
        <f t="shared" si="6"/>
        <v>425711.4411360363</v>
      </c>
      <c r="M46" s="193">
        <f t="shared" si="3"/>
        <v>2795523.2011360358</v>
      </c>
      <c r="O46">
        <v>9335.0400000000009</v>
      </c>
      <c r="P46">
        <f t="shared" si="8"/>
        <v>-9335.0400000000009</v>
      </c>
    </row>
    <row r="47" spans="5:16" x14ac:dyDescent="0.25">
      <c r="E47" s="191">
        <v>45</v>
      </c>
      <c r="F47" s="192">
        <v>42926</v>
      </c>
      <c r="G47" s="193">
        <f t="shared" si="4"/>
        <v>2795523.2011360358</v>
      </c>
      <c r="H47" s="194">
        <f t="shared" si="0"/>
        <v>14322.46</v>
      </c>
      <c r="I47" s="194">
        <f t="shared" si="1"/>
        <v>5004.0499999999993</v>
      </c>
      <c r="J47" s="194">
        <f t="shared" si="2"/>
        <v>9318.41</v>
      </c>
      <c r="K47" s="193">
        <f t="shared" si="5"/>
        <v>209480.84886396368</v>
      </c>
      <c r="L47" s="193">
        <f t="shared" si="6"/>
        <v>435029.85113603628</v>
      </c>
      <c r="M47" s="193">
        <f t="shared" si="3"/>
        <v>2790519.151136036</v>
      </c>
      <c r="O47">
        <v>9318.41</v>
      </c>
      <c r="P47">
        <f t="shared" si="8"/>
        <v>-9318.41</v>
      </c>
    </row>
    <row r="48" spans="5:16" x14ac:dyDescent="0.25">
      <c r="E48" s="191">
        <v>46</v>
      </c>
      <c r="F48" s="192">
        <v>42957</v>
      </c>
      <c r="G48" s="193">
        <f t="shared" si="4"/>
        <v>2790519.151136036</v>
      </c>
      <c r="H48" s="194">
        <f t="shared" si="0"/>
        <v>14322.46</v>
      </c>
      <c r="I48" s="194">
        <f t="shared" si="1"/>
        <v>5020.7299999999996</v>
      </c>
      <c r="J48" s="194">
        <f t="shared" si="2"/>
        <v>9301.73</v>
      </c>
      <c r="K48" s="193">
        <f t="shared" si="5"/>
        <v>214501.57886396369</v>
      </c>
      <c r="L48" s="193">
        <f t="shared" si="6"/>
        <v>444331.58113603626</v>
      </c>
      <c r="M48" s="193">
        <f t="shared" si="3"/>
        <v>2785498.421136036</v>
      </c>
      <c r="O48">
        <v>9301.73</v>
      </c>
      <c r="P48">
        <f t="shared" si="8"/>
        <v>-9301.73</v>
      </c>
    </row>
    <row r="49" spans="5:16" x14ac:dyDescent="0.25">
      <c r="E49" s="191">
        <v>47</v>
      </c>
      <c r="F49" s="192">
        <v>42988</v>
      </c>
      <c r="G49" s="193">
        <f t="shared" si="4"/>
        <v>2785498.421136036</v>
      </c>
      <c r="H49" s="194">
        <f t="shared" si="0"/>
        <v>14322.46</v>
      </c>
      <c r="I49" s="194">
        <f t="shared" si="1"/>
        <v>5037.4699999999993</v>
      </c>
      <c r="J49" s="194">
        <f t="shared" si="2"/>
        <v>9284.99</v>
      </c>
      <c r="K49" s="193">
        <f t="shared" si="5"/>
        <v>219539.04886396369</v>
      </c>
      <c r="L49" s="193">
        <f t="shared" si="6"/>
        <v>453616.57113603625</v>
      </c>
      <c r="M49" s="193">
        <f t="shared" si="3"/>
        <v>2780460.9511360358</v>
      </c>
      <c r="O49">
        <v>9284.99</v>
      </c>
      <c r="P49">
        <f t="shared" si="8"/>
        <v>-9284.99</v>
      </c>
    </row>
    <row r="50" spans="5:16" x14ac:dyDescent="0.25">
      <c r="E50" s="191">
        <v>48</v>
      </c>
      <c r="F50" s="192">
        <v>43018</v>
      </c>
      <c r="G50" s="193">
        <f t="shared" si="4"/>
        <v>2780460.9511360358</v>
      </c>
      <c r="H50" s="194">
        <f t="shared" si="0"/>
        <v>14322.46</v>
      </c>
      <c r="I50" s="194">
        <f t="shared" si="1"/>
        <v>5054.2599999999984</v>
      </c>
      <c r="J50" s="194">
        <f t="shared" si="2"/>
        <v>9268.2000000000007</v>
      </c>
      <c r="K50" s="193">
        <f t="shared" si="5"/>
        <v>224593.3088639637</v>
      </c>
      <c r="L50" s="193">
        <f t="shared" si="6"/>
        <v>462884.77113603626</v>
      </c>
      <c r="M50" s="193">
        <f t="shared" si="3"/>
        <v>2775406.6911360361</v>
      </c>
      <c r="O50">
        <v>9268.2000000000007</v>
      </c>
      <c r="P50">
        <f t="shared" si="8"/>
        <v>-9268.2000000000007</v>
      </c>
    </row>
    <row r="51" spans="5:16" x14ac:dyDescent="0.25">
      <c r="E51" s="191">
        <v>49</v>
      </c>
      <c r="F51" s="192">
        <v>43049</v>
      </c>
      <c r="G51" s="193">
        <f t="shared" si="4"/>
        <v>2775406.6911360361</v>
      </c>
      <c r="H51" s="194">
        <f t="shared" si="0"/>
        <v>14322.46</v>
      </c>
      <c r="I51" s="194">
        <f t="shared" si="1"/>
        <v>5071.0999999999985</v>
      </c>
      <c r="J51" s="194">
        <f t="shared" si="2"/>
        <v>9251.36</v>
      </c>
      <c r="K51" s="193">
        <f t="shared" si="5"/>
        <v>229664.4088639637</v>
      </c>
      <c r="L51" s="193">
        <f t="shared" si="6"/>
        <v>472136.13113603625</v>
      </c>
      <c r="M51" s="193">
        <f t="shared" si="3"/>
        <v>2770335.591136036</v>
      </c>
      <c r="O51">
        <v>9251.36</v>
      </c>
      <c r="P51">
        <f t="shared" si="8"/>
        <v>-9251.36</v>
      </c>
    </row>
    <row r="52" spans="5:16" x14ac:dyDescent="0.25">
      <c r="E52" s="191">
        <v>50</v>
      </c>
      <c r="F52" s="192">
        <v>43079</v>
      </c>
      <c r="G52" s="193">
        <f t="shared" si="4"/>
        <v>2770335.591136036</v>
      </c>
      <c r="H52" s="194">
        <f t="shared" si="0"/>
        <v>14322.46</v>
      </c>
      <c r="I52" s="194">
        <f t="shared" si="1"/>
        <v>5088.0099999999984</v>
      </c>
      <c r="J52" s="194">
        <f t="shared" si="2"/>
        <v>9234.4500000000007</v>
      </c>
      <c r="K52" s="193">
        <f t="shared" si="5"/>
        <v>234752.41886396371</v>
      </c>
      <c r="L52" s="193">
        <f t="shared" si="6"/>
        <v>481370.58113603626</v>
      </c>
      <c r="M52" s="193">
        <f t="shared" si="3"/>
        <v>2765247.5811360362</v>
      </c>
      <c r="O52">
        <v>9234.4500000000007</v>
      </c>
      <c r="P52">
        <f t="shared" si="8"/>
        <v>-9234.4500000000007</v>
      </c>
    </row>
    <row r="53" spans="5:16" x14ac:dyDescent="0.25">
      <c r="E53" s="182">
        <v>51</v>
      </c>
      <c r="F53" s="183">
        <v>43110</v>
      </c>
      <c r="G53" s="184">
        <f t="shared" si="4"/>
        <v>2765247.5811360362</v>
      </c>
      <c r="H53" s="185">
        <f t="shared" si="0"/>
        <v>14322.46</v>
      </c>
      <c r="I53" s="185">
        <f t="shared" si="1"/>
        <v>5104.9699999999993</v>
      </c>
      <c r="J53" s="185">
        <f t="shared" si="2"/>
        <v>9217.49</v>
      </c>
      <c r="K53" s="184">
        <f t="shared" si="5"/>
        <v>239857.38886396372</v>
      </c>
      <c r="L53" s="184">
        <f t="shared" si="6"/>
        <v>490588.07113603625</v>
      </c>
      <c r="M53" s="184">
        <f t="shared" si="3"/>
        <v>2760142.611136036</v>
      </c>
    </row>
    <row r="54" spans="5:16" x14ac:dyDescent="0.25">
      <c r="E54" s="182">
        <v>52</v>
      </c>
      <c r="F54" s="183">
        <v>43141</v>
      </c>
      <c r="G54" s="184">
        <f t="shared" si="4"/>
        <v>2760142.611136036</v>
      </c>
      <c r="H54" s="185">
        <f t="shared" si="0"/>
        <v>14322.46</v>
      </c>
      <c r="I54" s="185">
        <f t="shared" si="1"/>
        <v>5121.9799999999996</v>
      </c>
      <c r="J54" s="185">
        <f t="shared" si="2"/>
        <v>9200.48</v>
      </c>
      <c r="K54" s="184">
        <f t="shared" si="5"/>
        <v>244979.36886396373</v>
      </c>
      <c r="L54" s="184">
        <f t="shared" si="6"/>
        <v>499788.55113603623</v>
      </c>
      <c r="M54" s="184">
        <f t="shared" si="3"/>
        <v>2755020.631136036</v>
      </c>
    </row>
    <row r="55" spans="5:16" x14ac:dyDescent="0.25">
      <c r="E55" s="182">
        <v>53</v>
      </c>
      <c r="F55" s="183">
        <v>43169</v>
      </c>
      <c r="G55" s="184">
        <f t="shared" si="4"/>
        <v>2755020.631136036</v>
      </c>
      <c r="H55" s="185">
        <f t="shared" si="0"/>
        <v>14322.46</v>
      </c>
      <c r="I55" s="185">
        <f t="shared" si="1"/>
        <v>5139.0599999999995</v>
      </c>
      <c r="J55" s="185">
        <f t="shared" si="2"/>
        <v>9183.4</v>
      </c>
      <c r="K55" s="184">
        <f t="shared" si="5"/>
        <v>250118.42886396372</v>
      </c>
      <c r="L55" s="184">
        <f t="shared" si="6"/>
        <v>508971.95113603625</v>
      </c>
      <c r="M55" s="184">
        <f t="shared" si="3"/>
        <v>2749881.571136036</v>
      </c>
    </row>
    <row r="56" spans="5:16" x14ac:dyDescent="0.25">
      <c r="E56" s="182">
        <v>54</v>
      </c>
      <c r="F56" s="183">
        <v>43200</v>
      </c>
      <c r="G56" s="184">
        <f t="shared" si="4"/>
        <v>2749881.571136036</v>
      </c>
      <c r="H56" s="185">
        <f t="shared" si="0"/>
        <v>14322.46</v>
      </c>
      <c r="I56" s="185">
        <f t="shared" si="1"/>
        <v>5156.1899999999987</v>
      </c>
      <c r="J56" s="185">
        <f t="shared" si="2"/>
        <v>9166.27</v>
      </c>
      <c r="K56" s="184">
        <f t="shared" si="5"/>
        <v>255274.61886396373</v>
      </c>
      <c r="L56" s="184">
        <f t="shared" si="6"/>
        <v>518138.22113603627</v>
      </c>
      <c r="M56" s="184">
        <f t="shared" si="3"/>
        <v>2744725.381136036</v>
      </c>
    </row>
    <row r="57" spans="5:16" x14ac:dyDescent="0.25">
      <c r="E57" s="182">
        <v>55</v>
      </c>
      <c r="F57" s="183">
        <v>43230</v>
      </c>
      <c r="G57" s="184">
        <f t="shared" si="4"/>
        <v>2744725.381136036</v>
      </c>
      <c r="H57" s="185">
        <f t="shared" si="0"/>
        <v>14322.46</v>
      </c>
      <c r="I57" s="185">
        <f t="shared" si="1"/>
        <v>5173.3799999999992</v>
      </c>
      <c r="J57" s="185">
        <f t="shared" si="2"/>
        <v>9149.08</v>
      </c>
      <c r="K57" s="184">
        <f t="shared" si="5"/>
        <v>260447.99886396373</v>
      </c>
      <c r="L57" s="184">
        <f t="shared" si="6"/>
        <v>527287.30113603629</v>
      </c>
      <c r="M57" s="184">
        <f t="shared" si="3"/>
        <v>2739552.0011360361</v>
      </c>
    </row>
    <row r="58" spans="5:16" x14ac:dyDescent="0.25">
      <c r="E58" s="182">
        <v>56</v>
      </c>
      <c r="F58" s="183">
        <v>43261</v>
      </c>
      <c r="G58" s="184">
        <f t="shared" si="4"/>
        <v>2739552.0011360361</v>
      </c>
      <c r="H58" s="185">
        <f t="shared" si="0"/>
        <v>14322.46</v>
      </c>
      <c r="I58" s="185">
        <f t="shared" si="1"/>
        <v>5190.619999999999</v>
      </c>
      <c r="J58" s="185">
        <f t="shared" si="2"/>
        <v>9131.84</v>
      </c>
      <c r="K58" s="184">
        <f t="shared" si="5"/>
        <v>265638.61886396375</v>
      </c>
      <c r="L58" s="184">
        <f t="shared" si="6"/>
        <v>536419.14113603625</v>
      </c>
      <c r="M58" s="184">
        <f t="shared" si="3"/>
        <v>2734361.381136036</v>
      </c>
    </row>
    <row r="59" spans="5:16" x14ac:dyDescent="0.25">
      <c r="E59" s="182">
        <v>57</v>
      </c>
      <c r="F59" s="183">
        <v>43291</v>
      </c>
      <c r="G59" s="184">
        <f t="shared" si="4"/>
        <v>2734361.381136036</v>
      </c>
      <c r="H59" s="185">
        <f t="shared" si="0"/>
        <v>14322.46</v>
      </c>
      <c r="I59" s="185">
        <f t="shared" si="1"/>
        <v>5207.9199999999983</v>
      </c>
      <c r="J59" s="185">
        <f t="shared" si="2"/>
        <v>9114.5400000000009</v>
      </c>
      <c r="K59" s="184">
        <f t="shared" si="5"/>
        <v>270846.53886396374</v>
      </c>
      <c r="L59" s="184">
        <f t="shared" si="6"/>
        <v>545533.68113603629</v>
      </c>
      <c r="M59" s="184">
        <f t="shared" si="3"/>
        <v>2729153.4611360361</v>
      </c>
    </row>
    <row r="60" spans="5:16" x14ac:dyDescent="0.25">
      <c r="G60" s="184"/>
      <c r="K60" s="184"/>
      <c r="L60" s="184"/>
      <c r="M60" s="184"/>
    </row>
    <row r="61" spans="5:16" x14ac:dyDescent="0.25">
      <c r="G61" s="184"/>
      <c r="K61" s="184"/>
      <c r="L61" s="184"/>
      <c r="M61" s="184"/>
    </row>
    <row r="63" spans="5:16" s="141" customFormat="1" x14ac:dyDescent="0.25">
      <c r="E63" s="182"/>
      <c r="F63" s="183" t="s">
        <v>317</v>
      </c>
      <c r="G63"/>
      <c r="H63" s="185">
        <f>SUM(H3:H62)</f>
        <v>816380.21999999951</v>
      </c>
      <c r="I63" s="185"/>
      <c r="J63" s="185"/>
      <c r="K63"/>
      <c r="L63"/>
      <c r="M6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0" zoomScaleNormal="80" workbookViewId="0">
      <selection activeCell="M34" sqref="M34"/>
    </sheetView>
  </sheetViews>
  <sheetFormatPr defaultRowHeight="15" x14ac:dyDescent="0.25"/>
  <cols>
    <col min="1" max="1" width="51.140625" style="31" customWidth="1"/>
    <col min="2" max="5" width="13.85546875" style="31" customWidth="1"/>
    <col min="6" max="7" width="9.140625" style="31"/>
    <col min="8" max="8" width="4.28515625" style="31" customWidth="1"/>
    <col min="9" max="9" width="9.140625" style="31" customWidth="1"/>
    <col min="10" max="10" width="20.28515625" style="31" customWidth="1"/>
    <col min="11" max="23" width="13.85546875" style="31" customWidth="1"/>
    <col min="24" max="16384" width="9.140625" style="31"/>
  </cols>
  <sheetData>
    <row r="1" spans="1:23" x14ac:dyDescent="0.25">
      <c r="A1" s="55" t="s">
        <v>297</v>
      </c>
      <c r="B1" s="55"/>
      <c r="K1" s="12" t="s">
        <v>298</v>
      </c>
    </row>
    <row r="2" spans="1:23" x14ac:dyDescent="0.25">
      <c r="A2" s="31" t="s">
        <v>299</v>
      </c>
      <c r="B2" s="56">
        <v>5666.67</v>
      </c>
      <c r="D2" s="57">
        <f>B2*12</f>
        <v>68000.040000000008</v>
      </c>
    </row>
    <row r="3" spans="1:23" x14ac:dyDescent="0.25">
      <c r="A3" s="31" t="s">
        <v>300</v>
      </c>
      <c r="B3" s="56">
        <v>5666.67</v>
      </c>
      <c r="D3" s="57">
        <f t="shared" ref="D3:D12" si="0">B3*12</f>
        <v>68000.040000000008</v>
      </c>
    </row>
    <row r="4" spans="1:23" x14ac:dyDescent="0.25">
      <c r="A4" s="31" t="s">
        <v>301</v>
      </c>
      <c r="B4" s="56">
        <v>5666.67</v>
      </c>
      <c r="D4" s="57">
        <f t="shared" si="0"/>
        <v>68000.040000000008</v>
      </c>
      <c r="K4" s="58">
        <v>42370</v>
      </c>
      <c r="L4" s="58">
        <v>42402</v>
      </c>
      <c r="M4" s="58">
        <v>42434</v>
      </c>
      <c r="N4" s="58">
        <v>42466</v>
      </c>
      <c r="O4" s="58">
        <v>42498</v>
      </c>
      <c r="P4" s="58">
        <v>42530</v>
      </c>
      <c r="Q4" s="58">
        <v>42562</v>
      </c>
      <c r="R4" s="58">
        <v>42594</v>
      </c>
      <c r="S4" s="58">
        <v>42626</v>
      </c>
      <c r="T4" s="58">
        <v>42658</v>
      </c>
      <c r="U4" s="58">
        <v>42690</v>
      </c>
      <c r="V4" s="58">
        <v>42722</v>
      </c>
      <c r="W4" s="59" t="s">
        <v>302</v>
      </c>
    </row>
    <row r="5" spans="1:23" x14ac:dyDescent="0.25">
      <c r="A5" s="31" t="s">
        <v>303</v>
      </c>
      <c r="B5" s="56">
        <v>5666.67</v>
      </c>
      <c r="D5" s="57">
        <f t="shared" si="0"/>
        <v>68000.040000000008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x14ac:dyDescent="0.25">
      <c r="A6" s="31" t="s">
        <v>304</v>
      </c>
      <c r="B6" s="56">
        <v>5666.67</v>
      </c>
      <c r="D6" s="57">
        <f t="shared" si="0"/>
        <v>68000.040000000008</v>
      </c>
    </row>
    <row r="7" spans="1:23" x14ac:dyDescent="0.25">
      <c r="B7" s="56"/>
      <c r="D7" s="57"/>
      <c r="J7" s="31" t="s">
        <v>305</v>
      </c>
      <c r="K7" s="60">
        <v>9137</v>
      </c>
      <c r="L7" s="60"/>
      <c r="M7" s="60"/>
      <c r="N7" s="60">
        <v>9137</v>
      </c>
      <c r="O7" s="60"/>
      <c r="P7" s="60"/>
      <c r="Q7" s="60">
        <v>9137</v>
      </c>
      <c r="R7" s="60"/>
      <c r="S7" s="60"/>
      <c r="T7" s="60"/>
      <c r="U7" s="60"/>
      <c r="V7" s="60"/>
      <c r="W7" s="60">
        <f>SUM(K7:V7)</f>
        <v>27411</v>
      </c>
    </row>
    <row r="8" spans="1:23" x14ac:dyDescent="0.25">
      <c r="A8" s="31" t="s">
        <v>306</v>
      </c>
      <c r="B8" s="56">
        <v>6516.67</v>
      </c>
      <c r="D8" s="57">
        <f t="shared" si="0"/>
        <v>78200.040000000008</v>
      </c>
      <c r="J8" s="31" t="s">
        <v>307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>
        <f t="shared" ref="W8:W12" si="1">SUM(K8:V8)</f>
        <v>0</v>
      </c>
    </row>
    <row r="9" spans="1:23" x14ac:dyDescent="0.25">
      <c r="A9" s="31" t="s">
        <v>308</v>
      </c>
      <c r="B9" s="56">
        <v>6516.67</v>
      </c>
      <c r="D9" s="57">
        <f t="shared" si="0"/>
        <v>78200.040000000008</v>
      </c>
      <c r="J9" s="31" t="s">
        <v>309</v>
      </c>
      <c r="K9" s="60">
        <v>0</v>
      </c>
      <c r="L9" s="60"/>
      <c r="M9" s="60"/>
      <c r="N9" s="60">
        <v>6282</v>
      </c>
      <c r="O9" s="60"/>
      <c r="P9" s="60"/>
      <c r="Q9" s="60">
        <v>6282</v>
      </c>
      <c r="R9" s="60"/>
      <c r="S9" s="60"/>
      <c r="T9" s="60"/>
      <c r="U9" s="60"/>
      <c r="V9" s="60"/>
      <c r="W9" s="60">
        <f t="shared" si="1"/>
        <v>12564</v>
      </c>
    </row>
    <row r="10" spans="1:23" x14ac:dyDescent="0.25">
      <c r="A10" s="31" t="s">
        <v>310</v>
      </c>
      <c r="B10" s="56">
        <v>6516.67</v>
      </c>
      <c r="D10" s="57">
        <f t="shared" si="0"/>
        <v>78200.040000000008</v>
      </c>
      <c r="J10" s="31" t="s">
        <v>311</v>
      </c>
      <c r="K10" s="60"/>
      <c r="L10" s="60"/>
      <c r="M10" s="60"/>
      <c r="N10" s="60"/>
      <c r="O10" s="60">
        <f>D53</f>
        <v>4204.8355000000001</v>
      </c>
      <c r="P10" s="60"/>
      <c r="Q10" s="60"/>
      <c r="R10" s="60"/>
      <c r="S10" s="60"/>
      <c r="T10" s="60">
        <v>0</v>
      </c>
      <c r="U10" s="60">
        <f>D54</f>
        <v>4204.8355000000001</v>
      </c>
      <c r="V10" s="60"/>
      <c r="W10" s="60">
        <f t="shared" si="1"/>
        <v>8409.6710000000003</v>
      </c>
    </row>
    <row r="11" spans="1:23" x14ac:dyDescent="0.25">
      <c r="A11" s="31" t="s">
        <v>312</v>
      </c>
      <c r="B11" s="56">
        <v>6516.67</v>
      </c>
      <c r="D11" s="57">
        <f t="shared" si="0"/>
        <v>78200.040000000008</v>
      </c>
      <c r="J11" s="31" t="s">
        <v>313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f>D70</f>
        <v>1773.9150025162505</v>
      </c>
      <c r="Q11" s="60">
        <v>0</v>
      </c>
      <c r="R11" s="60">
        <v>0</v>
      </c>
      <c r="S11" s="60"/>
      <c r="T11" s="60">
        <f>D71</f>
        <v>1773.9150025162505</v>
      </c>
      <c r="U11" s="60"/>
      <c r="V11" s="60">
        <f>D72</f>
        <v>1773.9150025162505</v>
      </c>
      <c r="W11" s="60">
        <f t="shared" si="1"/>
        <v>5321.7450075487513</v>
      </c>
    </row>
    <row r="12" spans="1:23" ht="17.25" x14ac:dyDescent="0.4">
      <c r="A12" s="31" t="s">
        <v>314</v>
      </c>
      <c r="B12" s="56">
        <v>6516.67</v>
      </c>
      <c r="D12" s="61">
        <f t="shared" si="0"/>
        <v>78200.040000000008</v>
      </c>
      <c r="J12" s="31" t="s">
        <v>315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f>D73</f>
        <v>1773.9150025162505</v>
      </c>
      <c r="W12" s="60">
        <f t="shared" si="1"/>
        <v>1773.9150025162505</v>
      </c>
    </row>
    <row r="13" spans="1:23" x14ac:dyDescent="0.25">
      <c r="B13" s="56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 x14ac:dyDescent="0.25">
      <c r="A14" s="31" t="s">
        <v>316</v>
      </c>
      <c r="B14" s="56"/>
      <c r="D14" s="57">
        <f>SUM(D2:D12)</f>
        <v>731000.40000000026</v>
      </c>
      <c r="J14" s="31" t="s">
        <v>317</v>
      </c>
      <c r="K14" s="60">
        <f t="shared" ref="K14:W14" si="2">SUM(K7:K12)</f>
        <v>9137</v>
      </c>
      <c r="L14" s="60">
        <f t="shared" si="2"/>
        <v>0</v>
      </c>
      <c r="M14" s="60">
        <f t="shared" si="2"/>
        <v>0</v>
      </c>
      <c r="N14" s="60">
        <f t="shared" si="2"/>
        <v>15419</v>
      </c>
      <c r="O14" s="60">
        <f t="shared" si="2"/>
        <v>4204.8355000000001</v>
      </c>
      <c r="P14" s="60">
        <f t="shared" si="2"/>
        <v>1773.9150025162505</v>
      </c>
      <c r="Q14" s="60">
        <f t="shared" si="2"/>
        <v>15419</v>
      </c>
      <c r="R14" s="60">
        <f t="shared" si="2"/>
        <v>0</v>
      </c>
      <c r="S14" s="60">
        <f t="shared" si="2"/>
        <v>0</v>
      </c>
      <c r="T14" s="60">
        <f t="shared" si="2"/>
        <v>1773.9150025162505</v>
      </c>
      <c r="U14" s="60">
        <f t="shared" si="2"/>
        <v>4204.8355000000001</v>
      </c>
      <c r="V14" s="60">
        <f t="shared" si="2"/>
        <v>3547.830005032501</v>
      </c>
      <c r="W14" s="60">
        <f t="shared" si="2"/>
        <v>55480.331010065005</v>
      </c>
    </row>
    <row r="15" spans="1:23" x14ac:dyDescent="0.25">
      <c r="A15" s="31" t="s">
        <v>318</v>
      </c>
      <c r="B15" s="56"/>
      <c r="D15" s="57">
        <f>D14*0.05</f>
        <v>36550.020000000011</v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</row>
    <row r="16" spans="1:23" x14ac:dyDescent="0.25">
      <c r="A16" s="31" t="s">
        <v>319</v>
      </c>
      <c r="B16" s="56"/>
      <c r="D16" s="57">
        <f>D15*0.25</f>
        <v>9137.5050000000028</v>
      </c>
      <c r="E16" s="62">
        <v>42303</v>
      </c>
    </row>
    <row r="17" spans="1:5" x14ac:dyDescent="0.25">
      <c r="A17" s="63" t="s">
        <v>320</v>
      </c>
      <c r="B17" s="56"/>
      <c r="D17" s="57">
        <f>D15*0.25</f>
        <v>9137.5050000000028</v>
      </c>
      <c r="E17" s="62">
        <v>42395</v>
      </c>
    </row>
    <row r="18" spans="1:5" x14ac:dyDescent="0.25">
      <c r="A18" s="31" t="s">
        <v>321</v>
      </c>
      <c r="B18" s="56"/>
      <c r="D18" s="57">
        <f>D15*0.25</f>
        <v>9137.5050000000028</v>
      </c>
      <c r="E18" s="62">
        <v>42486</v>
      </c>
    </row>
    <row r="19" spans="1:5" x14ac:dyDescent="0.25">
      <c r="A19" s="31" t="s">
        <v>322</v>
      </c>
      <c r="B19" s="56"/>
      <c r="D19" s="57">
        <f>D15*0.25</f>
        <v>9137.5050000000028</v>
      </c>
      <c r="E19" s="62">
        <v>42577</v>
      </c>
    </row>
    <row r="20" spans="1:5" x14ac:dyDescent="0.25">
      <c r="B20" s="56"/>
      <c r="D20" s="57"/>
    </row>
    <row r="21" spans="1:5" x14ac:dyDescent="0.25">
      <c r="B21" s="56"/>
      <c r="D21" s="57"/>
    </row>
    <row r="22" spans="1:5" x14ac:dyDescent="0.25">
      <c r="A22" s="178" t="s">
        <v>323</v>
      </c>
      <c r="B22" s="178"/>
      <c r="D22" s="57"/>
    </row>
    <row r="23" spans="1:5" x14ac:dyDescent="0.25">
      <c r="A23" s="178"/>
      <c r="B23" s="178"/>
      <c r="D23" s="57"/>
    </row>
    <row r="24" spans="1:5" x14ac:dyDescent="0.25">
      <c r="A24" s="31" t="s">
        <v>324</v>
      </c>
      <c r="B24" s="56">
        <f>47300*5</f>
        <v>236500</v>
      </c>
      <c r="D24" s="57"/>
    </row>
    <row r="25" spans="1:5" x14ac:dyDescent="0.25">
      <c r="A25" s="31" t="s">
        <v>325</v>
      </c>
      <c r="B25" s="56">
        <f>53212.5*5</f>
        <v>266062.5</v>
      </c>
      <c r="D25" s="57"/>
    </row>
    <row r="26" spans="1:5" ht="15.75" thickBot="1" x14ac:dyDescent="0.3">
      <c r="B26" s="64">
        <f>SUM(B24:B25)</f>
        <v>502562.5</v>
      </c>
      <c r="D26" s="57"/>
    </row>
    <row r="27" spans="1:5" ht="15.75" thickTop="1" x14ac:dyDescent="0.25">
      <c r="B27" s="56"/>
    </row>
    <row r="28" spans="1:5" x14ac:dyDescent="0.25">
      <c r="A28" s="31" t="s">
        <v>326</v>
      </c>
      <c r="B28" s="56">
        <f>B26*5%</f>
        <v>25128.125</v>
      </c>
    </row>
    <row r="29" spans="1:5" x14ac:dyDescent="0.25">
      <c r="B29" s="56"/>
    </row>
    <row r="30" spans="1:5" x14ac:dyDescent="0.25">
      <c r="A30" s="31" t="s">
        <v>327</v>
      </c>
      <c r="B30" s="56">
        <v>12564.06</v>
      </c>
      <c r="E30" s="62">
        <v>42280</v>
      </c>
    </row>
    <row r="31" spans="1:5" x14ac:dyDescent="0.25">
      <c r="A31" s="31" t="s">
        <v>328</v>
      </c>
      <c r="B31" s="56">
        <v>6282.03</v>
      </c>
      <c r="E31" s="62">
        <v>42463</v>
      </c>
    </row>
    <row r="32" spans="1:5" x14ac:dyDescent="0.25">
      <c r="A32" s="31" t="s">
        <v>329</v>
      </c>
      <c r="B32" s="56">
        <v>6282.03</v>
      </c>
      <c r="E32" s="62">
        <v>42554</v>
      </c>
    </row>
    <row r="33" spans="1:8" s="12" customFormat="1" ht="15.75" thickBot="1" x14ac:dyDescent="0.3">
      <c r="A33" s="31"/>
      <c r="B33" s="64">
        <f>SUM(B30:B32)</f>
        <v>25128.12</v>
      </c>
    </row>
    <row r="34" spans="1:8" ht="15.75" thickTop="1" x14ac:dyDescent="0.25"/>
    <row r="35" spans="1:8" x14ac:dyDescent="0.25">
      <c r="A35" s="12" t="s">
        <v>330</v>
      </c>
      <c r="B35" s="12"/>
      <c r="C35" s="12"/>
      <c r="D35" s="12"/>
      <c r="E35" s="12"/>
      <c r="F35" s="12"/>
      <c r="G35" s="12"/>
      <c r="H35" s="12"/>
    </row>
    <row r="36" spans="1:8" s="12" customFormat="1" x14ac:dyDescent="0.25">
      <c r="A36" s="31"/>
      <c r="B36" s="31"/>
      <c r="C36" s="31"/>
      <c r="D36" s="31"/>
      <c r="E36" s="31"/>
      <c r="F36" s="31"/>
      <c r="G36" s="31"/>
      <c r="H36" s="31"/>
    </row>
    <row r="37" spans="1:8" x14ac:dyDescent="0.25">
      <c r="A37" s="31" t="s">
        <v>331</v>
      </c>
      <c r="D37" s="57">
        <v>6282.03</v>
      </c>
      <c r="E37" s="62">
        <v>42280</v>
      </c>
    </row>
    <row r="38" spans="1:8" x14ac:dyDescent="0.25">
      <c r="A38" s="31" t="s">
        <v>332</v>
      </c>
      <c r="D38" s="57">
        <v>6282.03</v>
      </c>
      <c r="E38" s="62">
        <v>42372</v>
      </c>
    </row>
    <row r="39" spans="1:8" x14ac:dyDescent="0.25">
      <c r="A39" s="31" t="s">
        <v>333</v>
      </c>
      <c r="D39" s="57">
        <v>6282.03</v>
      </c>
      <c r="E39" s="62">
        <v>42463</v>
      </c>
    </row>
    <row r="40" spans="1:8" x14ac:dyDescent="0.25">
      <c r="A40" s="31" t="s">
        <v>334</v>
      </c>
      <c r="D40" s="57">
        <v>6282.03</v>
      </c>
      <c r="E40" s="62">
        <v>42554</v>
      </c>
    </row>
    <row r="41" spans="1:8" x14ac:dyDescent="0.25">
      <c r="D41" s="57"/>
      <c r="E41" s="65"/>
    </row>
    <row r="42" spans="1:8" x14ac:dyDescent="0.25">
      <c r="A42" s="12" t="s">
        <v>335</v>
      </c>
      <c r="B42" s="12" t="s">
        <v>336</v>
      </c>
      <c r="C42" s="12"/>
      <c r="D42" s="66"/>
      <c r="E42" s="67"/>
      <c r="F42" s="12"/>
      <c r="G42" s="12"/>
      <c r="H42" s="12"/>
    </row>
    <row r="43" spans="1:8" x14ac:dyDescent="0.25">
      <c r="D43" s="57"/>
      <c r="E43" s="65"/>
    </row>
    <row r="44" spans="1:8" x14ac:dyDescent="0.25">
      <c r="A44" s="31" t="s">
        <v>337</v>
      </c>
      <c r="B44" s="56">
        <v>31680</v>
      </c>
    </row>
    <row r="45" spans="1:8" x14ac:dyDescent="0.25">
      <c r="A45" s="31" t="s">
        <v>338</v>
      </c>
      <c r="B45" s="56">
        <v>32630.400000000001</v>
      </c>
    </row>
    <row r="46" spans="1:8" x14ac:dyDescent="0.25">
      <c r="A46" s="31" t="s">
        <v>339</v>
      </c>
      <c r="B46" s="56">
        <v>33609.31</v>
      </c>
    </row>
    <row r="47" spans="1:8" x14ac:dyDescent="0.25">
      <c r="A47" s="31" t="s">
        <v>340</v>
      </c>
      <c r="B47" s="56">
        <v>34617.589999999997</v>
      </c>
    </row>
    <row r="48" spans="1:8" ht="17.25" x14ac:dyDescent="0.4">
      <c r="A48" s="31" t="s">
        <v>341</v>
      </c>
      <c r="B48" s="68">
        <v>35656.120000000003</v>
      </c>
      <c r="D48" s="57"/>
      <c r="E48" s="62"/>
    </row>
    <row r="49" spans="1:14" x14ac:dyDescent="0.25">
      <c r="A49" s="31" t="s">
        <v>165</v>
      </c>
      <c r="B49" s="56">
        <f>SUM(B44:B48)</f>
        <v>168193.41999999998</v>
      </c>
      <c r="D49" s="57"/>
      <c r="E49" s="62"/>
    </row>
    <row r="51" spans="1:14" x14ac:dyDescent="0.25">
      <c r="A51" s="31" t="s">
        <v>342</v>
      </c>
      <c r="B51" s="57">
        <f>B49*0.05</f>
        <v>8409.6710000000003</v>
      </c>
    </row>
    <row r="53" spans="1:14" x14ac:dyDescent="0.25">
      <c r="A53" s="31" t="s">
        <v>343</v>
      </c>
      <c r="D53" s="57">
        <f>B$51/2</f>
        <v>4204.8355000000001</v>
      </c>
      <c r="E53" s="62">
        <v>42507</v>
      </c>
      <c r="F53" s="31" t="s">
        <v>344</v>
      </c>
      <c r="M53" s="65"/>
      <c r="N53" s="65"/>
    </row>
    <row r="54" spans="1:14" x14ac:dyDescent="0.25">
      <c r="A54" s="31" t="s">
        <v>345</v>
      </c>
      <c r="D54" s="57">
        <f>B$51/2</f>
        <v>4204.8355000000001</v>
      </c>
      <c r="E54" s="62">
        <v>42690</v>
      </c>
      <c r="F54" s="31" t="s">
        <v>344</v>
      </c>
      <c r="M54" s="69"/>
    </row>
    <row r="55" spans="1:14" x14ac:dyDescent="0.25">
      <c r="M55" s="69"/>
    </row>
    <row r="56" spans="1:14" x14ac:dyDescent="0.25">
      <c r="A56" s="12" t="s">
        <v>346</v>
      </c>
      <c r="M56" s="69"/>
    </row>
    <row r="57" spans="1:14" x14ac:dyDescent="0.25">
      <c r="M57" s="69"/>
    </row>
    <row r="58" spans="1:14" x14ac:dyDescent="0.25">
      <c r="A58" s="31" t="s">
        <v>347</v>
      </c>
      <c r="B58" s="31">
        <v>1215</v>
      </c>
      <c r="M58" s="69"/>
    </row>
    <row r="59" spans="1:14" x14ac:dyDescent="0.25">
      <c r="A59" s="31" t="s">
        <v>348</v>
      </c>
      <c r="B59" s="56">
        <v>22</v>
      </c>
      <c r="M59" s="69"/>
      <c r="N59" s="69"/>
    </row>
    <row r="61" spans="1:14" x14ac:dyDescent="0.25">
      <c r="A61" s="31" t="s">
        <v>337</v>
      </c>
      <c r="B61" s="56">
        <f>B58*B59</f>
        <v>26730</v>
      </c>
    </row>
    <row r="62" spans="1:14" x14ac:dyDescent="0.25">
      <c r="A62" s="31" t="s">
        <v>338</v>
      </c>
      <c r="B62" s="56">
        <f>B61*1.03</f>
        <v>27531.9</v>
      </c>
    </row>
    <row r="63" spans="1:14" x14ac:dyDescent="0.25">
      <c r="A63" s="31" t="s">
        <v>339</v>
      </c>
      <c r="B63" s="56">
        <f t="shared" ref="B63:B65" si="3">B62*1.03</f>
        <v>28357.857000000004</v>
      </c>
    </row>
    <row r="64" spans="1:14" x14ac:dyDescent="0.25">
      <c r="A64" s="31" t="s">
        <v>340</v>
      </c>
      <c r="B64" s="56">
        <f t="shared" si="3"/>
        <v>29208.592710000004</v>
      </c>
    </row>
    <row r="65" spans="1:11" ht="17.25" x14ac:dyDescent="0.4">
      <c r="A65" s="31" t="s">
        <v>341</v>
      </c>
      <c r="B65" s="68">
        <f t="shared" si="3"/>
        <v>30084.850491300007</v>
      </c>
      <c r="D65" s="57"/>
      <c r="E65" s="62"/>
    </row>
    <row r="66" spans="1:11" x14ac:dyDescent="0.25">
      <c r="A66" s="31" t="s">
        <v>165</v>
      </c>
      <c r="B66" s="56">
        <f>SUM(B61:B65)</f>
        <v>141913.20020130003</v>
      </c>
      <c r="D66" s="57"/>
      <c r="E66" s="62"/>
    </row>
    <row r="68" spans="1:11" x14ac:dyDescent="0.25">
      <c r="A68" s="31" t="s">
        <v>342</v>
      </c>
      <c r="B68" s="57">
        <f>B66*0.05</f>
        <v>7095.6600100650021</v>
      </c>
    </row>
    <row r="70" spans="1:11" x14ac:dyDescent="0.25">
      <c r="A70" s="31" t="s">
        <v>349</v>
      </c>
      <c r="D70" s="57">
        <f>B$68/4</f>
        <v>1773.9150025162505</v>
      </c>
      <c r="E70" s="62">
        <v>42673</v>
      </c>
      <c r="F70" s="31" t="s">
        <v>344</v>
      </c>
      <c r="J70" s="65"/>
      <c r="K70" s="65"/>
    </row>
    <row r="71" spans="1:11" x14ac:dyDescent="0.25">
      <c r="A71" s="31" t="s">
        <v>350</v>
      </c>
      <c r="D71" s="57">
        <f t="shared" ref="D71:D73" si="4">B$68/4</f>
        <v>1773.9150025162505</v>
      </c>
      <c r="E71" s="62">
        <f>E70+45</f>
        <v>42718</v>
      </c>
      <c r="F71" s="31" t="s">
        <v>344</v>
      </c>
      <c r="K71" s="65"/>
    </row>
    <row r="72" spans="1:11" x14ac:dyDescent="0.25">
      <c r="A72" s="31" t="s">
        <v>351</v>
      </c>
      <c r="D72" s="57">
        <f t="shared" si="4"/>
        <v>1773.9150025162505</v>
      </c>
      <c r="E72" s="62">
        <f>E71+45</f>
        <v>42763</v>
      </c>
      <c r="F72" s="31" t="s">
        <v>344</v>
      </c>
      <c r="K72" s="65"/>
    </row>
    <row r="73" spans="1:11" x14ac:dyDescent="0.25">
      <c r="A73" s="31" t="s">
        <v>352</v>
      </c>
      <c r="D73" s="57">
        <f t="shared" si="4"/>
        <v>1773.9150025162505</v>
      </c>
      <c r="E73" s="62">
        <f>E72+45</f>
        <v>42808</v>
      </c>
      <c r="F73" s="31" t="s">
        <v>344</v>
      </c>
      <c r="K73" s="65"/>
    </row>
    <row r="75" spans="1:11" x14ac:dyDescent="0.25">
      <c r="A75" s="12" t="s">
        <v>353</v>
      </c>
      <c r="B75" s="12" t="s">
        <v>354</v>
      </c>
      <c r="C75" s="12"/>
      <c r="D75" s="66"/>
      <c r="E75" s="67"/>
      <c r="F75" s="12"/>
      <c r="G75" s="12"/>
      <c r="H75" s="12"/>
    </row>
    <row r="76" spans="1:11" x14ac:dyDescent="0.25">
      <c r="D76" s="57"/>
      <c r="E76" s="65"/>
    </row>
    <row r="77" spans="1:11" x14ac:dyDescent="0.25">
      <c r="A77" s="31" t="s">
        <v>347</v>
      </c>
      <c r="B77" s="31">
        <v>1215</v>
      </c>
    </row>
    <row r="78" spans="1:11" x14ac:dyDescent="0.25">
      <c r="A78" s="31" t="s">
        <v>348</v>
      </c>
      <c r="B78" s="56">
        <v>22</v>
      </c>
    </row>
    <row r="80" spans="1:11" x14ac:dyDescent="0.25">
      <c r="A80" s="31" t="s">
        <v>337</v>
      </c>
      <c r="B80" s="56">
        <f>B77*B78</f>
        <v>26730</v>
      </c>
      <c r="C80" s="57"/>
    </row>
    <row r="81" spans="1:11" x14ac:dyDescent="0.25">
      <c r="A81" s="31" t="s">
        <v>338</v>
      </c>
      <c r="B81" s="56">
        <f>B80*1.03</f>
        <v>27531.9</v>
      </c>
    </row>
    <row r="82" spans="1:11" x14ac:dyDescent="0.25">
      <c r="A82" s="31" t="s">
        <v>339</v>
      </c>
      <c r="B82" s="56">
        <f t="shared" ref="B82:B84" si="5">B81*1.03</f>
        <v>28357.857000000004</v>
      </c>
    </row>
    <row r="83" spans="1:11" x14ac:dyDescent="0.25">
      <c r="A83" s="31" t="s">
        <v>340</v>
      </c>
      <c r="B83" s="56">
        <f t="shared" si="5"/>
        <v>29208.592710000004</v>
      </c>
    </row>
    <row r="84" spans="1:11" ht="17.25" x14ac:dyDescent="0.4">
      <c r="A84" s="31" t="s">
        <v>341</v>
      </c>
      <c r="B84" s="68">
        <f t="shared" si="5"/>
        <v>30084.850491300007</v>
      </c>
      <c r="D84" s="57"/>
      <c r="E84" s="62"/>
    </row>
    <row r="85" spans="1:11" x14ac:dyDescent="0.25">
      <c r="A85" s="31" t="s">
        <v>165</v>
      </c>
      <c r="B85" s="56">
        <f>SUM(B80:B84)</f>
        <v>141913.20020130003</v>
      </c>
      <c r="D85" s="57"/>
      <c r="E85" s="62"/>
    </row>
    <row r="87" spans="1:11" x14ac:dyDescent="0.25">
      <c r="A87" s="31" t="s">
        <v>342</v>
      </c>
      <c r="B87" s="57">
        <f>B85*0.05</f>
        <v>7095.6600100650021</v>
      </c>
    </row>
    <row r="89" spans="1:11" x14ac:dyDescent="0.25">
      <c r="A89" s="31" t="s">
        <v>349</v>
      </c>
      <c r="D89" s="57">
        <f>B$87/4</f>
        <v>1773.9150025162505</v>
      </c>
      <c r="E89" s="62">
        <v>42720</v>
      </c>
      <c r="F89" s="31" t="s">
        <v>344</v>
      </c>
      <c r="K89" s="69"/>
    </row>
    <row r="90" spans="1:11" x14ac:dyDescent="0.25">
      <c r="A90" s="31" t="s">
        <v>350</v>
      </c>
      <c r="D90" s="57">
        <f t="shared" ref="D90:D92" si="6">B$87/4</f>
        <v>1773.9150025162505</v>
      </c>
      <c r="E90" s="62">
        <f>E89+45</f>
        <v>42765</v>
      </c>
      <c r="F90" s="31" t="s">
        <v>344</v>
      </c>
      <c r="K90" s="69"/>
    </row>
    <row r="91" spans="1:11" x14ac:dyDescent="0.25">
      <c r="A91" s="31" t="s">
        <v>351</v>
      </c>
      <c r="D91" s="57">
        <f t="shared" si="6"/>
        <v>1773.9150025162505</v>
      </c>
      <c r="E91" s="62">
        <f>E90+45</f>
        <v>42810</v>
      </c>
      <c r="F91" s="31" t="s">
        <v>344</v>
      </c>
    </row>
    <row r="92" spans="1:11" x14ac:dyDescent="0.25">
      <c r="A92" s="31" t="s">
        <v>352</v>
      </c>
      <c r="D92" s="57">
        <f t="shared" si="6"/>
        <v>1773.9150025162505</v>
      </c>
      <c r="E92" s="62">
        <f>E91+45</f>
        <v>42855</v>
      </c>
      <c r="F92" s="31" t="s">
        <v>344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48" sqref="E48:P48"/>
    </sheetView>
  </sheetViews>
  <sheetFormatPr defaultRowHeight="15" x14ac:dyDescent="0.25"/>
  <cols>
    <col min="1" max="1" width="48.85546875" style="18" customWidth="1"/>
    <col min="2" max="2" width="9.140625" style="13"/>
    <col min="3" max="3" width="13.140625" style="13" bestFit="1" customWidth="1"/>
    <col min="4" max="4" width="13.140625" style="14" customWidth="1"/>
    <col min="5" max="15" width="11.7109375" style="15" bestFit="1" customWidth="1"/>
    <col min="16" max="16" width="13.7109375" style="15" bestFit="1" customWidth="1"/>
    <col min="17" max="17" width="13.7109375" style="16" bestFit="1" customWidth="1"/>
    <col min="18" max="18" width="13.7109375" style="17" bestFit="1" customWidth="1"/>
    <col min="19" max="19" width="9.140625" style="15"/>
    <col min="20" max="20" width="65.28515625" style="18" customWidth="1"/>
    <col min="21" max="16384" width="9.140625" style="18"/>
  </cols>
  <sheetData>
    <row r="1" spans="1:20" x14ac:dyDescent="0.25">
      <c r="A1" s="12" t="s">
        <v>200</v>
      </c>
    </row>
    <row r="3" spans="1:20" s="19" customFormat="1" x14ac:dyDescent="0.25">
      <c r="D3" s="20" t="s">
        <v>201</v>
      </c>
      <c r="E3" s="21">
        <v>42370</v>
      </c>
      <c r="F3" s="21">
        <v>42401</v>
      </c>
      <c r="G3" s="21">
        <v>42430</v>
      </c>
      <c r="H3" s="21">
        <v>42461</v>
      </c>
      <c r="I3" s="21">
        <v>42491</v>
      </c>
      <c r="J3" s="21">
        <v>42522</v>
      </c>
      <c r="K3" s="21">
        <v>42552</v>
      </c>
      <c r="L3" s="21">
        <v>42583</v>
      </c>
      <c r="M3" s="21">
        <v>42614</v>
      </c>
      <c r="N3" s="21">
        <v>42644</v>
      </c>
      <c r="O3" s="21">
        <v>42675</v>
      </c>
      <c r="P3" s="21">
        <v>42705</v>
      </c>
      <c r="Q3" s="22" t="s">
        <v>202</v>
      </c>
      <c r="R3" s="23">
        <v>2015</v>
      </c>
      <c r="S3" s="21" t="s">
        <v>0</v>
      </c>
      <c r="T3" s="19" t="s">
        <v>203</v>
      </c>
    </row>
    <row r="4" spans="1:20" s="30" customFormat="1" x14ac:dyDescent="0.25">
      <c r="A4" s="24" t="s">
        <v>204</v>
      </c>
      <c r="B4" s="25" t="s">
        <v>205</v>
      </c>
      <c r="C4" s="25" t="s">
        <v>5</v>
      </c>
      <c r="D4" s="26"/>
      <c r="E4" s="27">
        <f>'[1]Min Rent 2016'!E16</f>
        <v>25525</v>
      </c>
      <c r="F4" s="27">
        <f>'[1]Min Rent 2016'!F16</f>
        <v>25525</v>
      </c>
      <c r="G4" s="27">
        <f>'[1]Min Rent 2016'!G16</f>
        <v>25525</v>
      </c>
      <c r="H4" s="27">
        <f>'[1]Min Rent 2016'!H16</f>
        <v>25525</v>
      </c>
      <c r="I4" s="27">
        <f>'[1]Min Rent 2016'!I16</f>
        <v>26717.258064516129</v>
      </c>
      <c r="J4" s="27">
        <f>'[1]Min Rent 2016'!J16</f>
        <v>28165</v>
      </c>
      <c r="K4" s="27">
        <f>'[1]Min Rent 2016'!K16</f>
        <v>29515</v>
      </c>
      <c r="L4" s="27">
        <f>'[1]Min Rent 2016'!L16</f>
        <v>29515</v>
      </c>
      <c r="M4" s="27">
        <f>'[1]Min Rent 2016'!M16</f>
        <v>30628.75</v>
      </c>
      <c r="N4" s="27">
        <f>'[1]Min Rent 2016'!N16</f>
        <v>31742.5</v>
      </c>
      <c r="O4" s="27">
        <f>'[1]Min Rent 2016'!O16</f>
        <v>33970</v>
      </c>
      <c r="P4" s="27">
        <f>'[1]Min Rent 2016'!P16</f>
        <v>33970</v>
      </c>
      <c r="Q4" s="28">
        <f>SUM(E4:P4)</f>
        <v>346323.50806451612</v>
      </c>
      <c r="R4" s="29"/>
      <c r="S4" s="27"/>
    </row>
    <row r="5" spans="1:20" x14ac:dyDescent="0.25">
      <c r="A5" s="31" t="s">
        <v>206</v>
      </c>
      <c r="B5" s="32" t="s">
        <v>205</v>
      </c>
      <c r="C5" s="32" t="s">
        <v>15</v>
      </c>
      <c r="D5" s="33"/>
      <c r="E5" s="15">
        <f>'[1]CAM 2016'!E16</f>
        <v>2145</v>
      </c>
      <c r="F5" s="15">
        <f>'[1]CAM 2016'!F16</f>
        <v>2145</v>
      </c>
      <c r="G5" s="15">
        <f>'[1]CAM 2016'!G16</f>
        <v>2145</v>
      </c>
      <c r="H5" s="15">
        <f>'[1]CAM 2016'!H16</f>
        <v>2145</v>
      </c>
      <c r="I5" s="15">
        <f>'[1]CAM 2016'!I16</f>
        <v>2300.3548387096776</v>
      </c>
      <c r="J5" s="15">
        <f>'[1]CAM 2016'!J16</f>
        <v>2489</v>
      </c>
      <c r="K5" s="15">
        <f>'[1]CAM 2016'!K16</f>
        <v>2489</v>
      </c>
      <c r="L5" s="15">
        <f>'[1]CAM 2016'!L16</f>
        <v>2489</v>
      </c>
      <c r="M5" s="15">
        <f>'[1]CAM 2016'!M16</f>
        <v>2646</v>
      </c>
      <c r="N5" s="15">
        <f>'[1]CAM 2016'!N16</f>
        <v>2803</v>
      </c>
      <c r="O5" s="15">
        <f>'[1]CAM 2016'!O16</f>
        <v>3117</v>
      </c>
      <c r="P5" s="15">
        <f>'[1]CAM 2016'!P16</f>
        <v>3117</v>
      </c>
      <c r="Q5" s="16">
        <f t="shared" ref="Q5:Q8" si="0">SUM(E5:P5)</f>
        <v>30030.354838709678</v>
      </c>
    </row>
    <row r="6" spans="1:20" s="30" customFormat="1" x14ac:dyDescent="0.25">
      <c r="A6" s="24" t="s">
        <v>207</v>
      </c>
      <c r="B6" s="25" t="s">
        <v>205</v>
      </c>
      <c r="C6" s="25" t="s">
        <v>19</v>
      </c>
      <c r="D6" s="26"/>
      <c r="E6" s="27">
        <f>'[1]RETaxes 2016'!E16</f>
        <v>6007</v>
      </c>
      <c r="F6" s="27">
        <f>'[1]RETaxes 2016'!F16</f>
        <v>6007</v>
      </c>
      <c r="G6" s="27">
        <f>'[1]RETaxes 2016'!G16</f>
        <v>6007</v>
      </c>
      <c r="H6" s="27">
        <f>'[1]RETaxes 2016'!H16</f>
        <v>6007</v>
      </c>
      <c r="I6" s="27">
        <f>'[1]RETaxes 2016'!I16</f>
        <v>6200.7419354838712</v>
      </c>
      <c r="J6" s="27">
        <f>'[1]RETaxes 2016'!J16</f>
        <v>6436</v>
      </c>
      <c r="K6" s="27">
        <f>'[1]RETaxes 2016'!K16</f>
        <v>6436</v>
      </c>
      <c r="L6" s="27">
        <f>'[1]RETaxes 2016'!L16</f>
        <v>6436</v>
      </c>
      <c r="M6" s="27">
        <f>'[1]RETaxes 2016'!M16</f>
        <v>6632</v>
      </c>
      <c r="N6" s="27">
        <f>'[1]RETaxes 2016'!N16</f>
        <v>6828</v>
      </c>
      <c r="O6" s="27">
        <f>'[1]RETaxes 2016'!O16</f>
        <v>7220</v>
      </c>
      <c r="P6" s="27">
        <f>'[1]RETaxes 2016'!P16</f>
        <v>7220</v>
      </c>
      <c r="Q6" s="28">
        <f t="shared" si="0"/>
        <v>77436.741935483878</v>
      </c>
      <c r="R6" s="29"/>
      <c r="S6" s="27"/>
    </row>
    <row r="7" spans="1:20" x14ac:dyDescent="0.25">
      <c r="A7" s="31" t="s">
        <v>208</v>
      </c>
      <c r="B7" s="32" t="s">
        <v>205</v>
      </c>
      <c r="C7" s="32" t="s">
        <v>17</v>
      </c>
      <c r="D7" s="33"/>
      <c r="E7" s="15">
        <f>'[1]Ins 2016'!D16</f>
        <v>390</v>
      </c>
      <c r="F7" s="15">
        <f>'[1]Ins 2016'!E16</f>
        <v>390</v>
      </c>
      <c r="G7" s="15">
        <f>'[1]Ins 2016'!F16</f>
        <v>390</v>
      </c>
      <c r="H7" s="15">
        <f>'[1]Ins 2016'!G16</f>
        <v>390</v>
      </c>
      <c r="I7" s="15">
        <f>'[1]Ins 2016'!H16</f>
        <v>390</v>
      </c>
      <c r="J7" s="15">
        <f>'[1]Ins 2016'!I16</f>
        <v>390</v>
      </c>
      <c r="K7" s="15">
        <f>'[1]Ins 2016'!J16</f>
        <v>390</v>
      </c>
      <c r="L7" s="15">
        <f>'[1]Ins 2016'!K16</f>
        <v>390</v>
      </c>
      <c r="M7" s="15">
        <f>'[1]Ins 2016'!L16</f>
        <v>390</v>
      </c>
      <c r="N7" s="15">
        <f>'[1]Ins 2016'!M16</f>
        <v>390</v>
      </c>
      <c r="O7" s="15">
        <f>'[1]Ins 2016'!N16</f>
        <v>390</v>
      </c>
      <c r="P7" s="15">
        <f>'[1]Ins 2016'!O16</f>
        <v>390</v>
      </c>
      <c r="Q7" s="16">
        <f t="shared" si="0"/>
        <v>4680</v>
      </c>
    </row>
    <row r="8" spans="1:20" s="30" customFormat="1" x14ac:dyDescent="0.25">
      <c r="A8" s="24" t="s">
        <v>209</v>
      </c>
      <c r="B8" s="25" t="s">
        <v>205</v>
      </c>
      <c r="C8" s="25" t="s">
        <v>210</v>
      </c>
      <c r="D8" s="26"/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8">
        <f t="shared" si="0"/>
        <v>0</v>
      </c>
      <c r="R8" s="29"/>
      <c r="S8" s="27"/>
    </row>
    <row r="10" spans="1:20" s="34" customFormat="1" x14ac:dyDescent="0.25">
      <c r="A10" s="34" t="s">
        <v>211</v>
      </c>
      <c r="B10" s="35"/>
      <c r="C10" s="35"/>
      <c r="D10" s="36"/>
      <c r="E10" s="37">
        <f>SUM(E4:E9)</f>
        <v>34067</v>
      </c>
      <c r="F10" s="37">
        <f t="shared" ref="F10:P10" si="1">SUM(F4:F9)</f>
        <v>34067</v>
      </c>
      <c r="G10" s="37">
        <f t="shared" si="1"/>
        <v>34067</v>
      </c>
      <c r="H10" s="37">
        <f t="shared" si="1"/>
        <v>34067</v>
      </c>
      <c r="I10" s="37">
        <f t="shared" si="1"/>
        <v>35608.354838709682</v>
      </c>
      <c r="J10" s="37">
        <f t="shared" si="1"/>
        <v>37480</v>
      </c>
      <c r="K10" s="37">
        <f t="shared" si="1"/>
        <v>38830</v>
      </c>
      <c r="L10" s="37">
        <f t="shared" si="1"/>
        <v>38830</v>
      </c>
      <c r="M10" s="37">
        <f t="shared" si="1"/>
        <v>40296.75</v>
      </c>
      <c r="N10" s="37">
        <f t="shared" si="1"/>
        <v>41763.5</v>
      </c>
      <c r="O10" s="37">
        <f t="shared" si="1"/>
        <v>44697</v>
      </c>
      <c r="P10" s="37">
        <f t="shared" si="1"/>
        <v>44697</v>
      </c>
      <c r="Q10" s="38">
        <f>SUM(E10:P10)</f>
        <v>458470.6048387097</v>
      </c>
      <c r="R10" s="39"/>
      <c r="S10" s="37"/>
    </row>
    <row r="12" spans="1:20" s="45" customFormat="1" x14ac:dyDescent="0.25">
      <c r="A12" s="34" t="s">
        <v>212</v>
      </c>
      <c r="B12" s="40"/>
      <c r="C12" s="40"/>
      <c r="D12" s="41"/>
      <c r="E12" s="42">
        <v>0</v>
      </c>
      <c r="F12" s="42">
        <v>0</v>
      </c>
      <c r="G12" s="42">
        <v>300000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3">
        <f>SUM(E12:P12)</f>
        <v>300000</v>
      </c>
      <c r="R12" s="44"/>
      <c r="S12" s="42"/>
    </row>
    <row r="14" spans="1:20" s="30" customFormat="1" x14ac:dyDescent="0.25">
      <c r="A14" s="46" t="s">
        <v>213</v>
      </c>
      <c r="B14" s="46" t="s">
        <v>214</v>
      </c>
      <c r="C14" s="46" t="s">
        <v>215</v>
      </c>
      <c r="D14" s="4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9"/>
      <c r="S14" s="27"/>
    </row>
    <row r="15" spans="1:20" x14ac:dyDescent="0.25">
      <c r="A15" s="18" t="s">
        <v>166</v>
      </c>
      <c r="B15" s="13" t="s">
        <v>205</v>
      </c>
      <c r="C15" s="13" t="s">
        <v>194</v>
      </c>
      <c r="D15" s="14">
        <v>0</v>
      </c>
      <c r="E15" s="15">
        <f>$D15</f>
        <v>0</v>
      </c>
      <c r="F15" s="15">
        <f t="shared" ref="F15:G15" si="2">$D15</f>
        <v>0</v>
      </c>
      <c r="G15" s="15">
        <f t="shared" si="2"/>
        <v>0</v>
      </c>
      <c r="H15" s="15">
        <v>597</v>
      </c>
      <c r="I15" s="15">
        <v>597</v>
      </c>
      <c r="J15" s="15">
        <v>597</v>
      </c>
      <c r="K15" s="15">
        <v>597</v>
      </c>
      <c r="L15" s="15">
        <v>597</v>
      </c>
      <c r="M15" s="15">
        <v>597</v>
      </c>
      <c r="N15" s="15">
        <v>597</v>
      </c>
      <c r="O15" s="15">
        <v>550</v>
      </c>
      <c r="P15" s="15">
        <v>550</v>
      </c>
      <c r="Q15" s="16">
        <f>SUM(E15:P15)</f>
        <v>5279</v>
      </c>
      <c r="R15" s="17">
        <f>'[1]Op Budget 2015'!Q13</f>
        <v>588.5</v>
      </c>
    </row>
    <row r="16" spans="1:20" s="30" customFormat="1" x14ac:dyDescent="0.25">
      <c r="A16" s="30" t="s">
        <v>216</v>
      </c>
      <c r="B16" s="48" t="s">
        <v>205</v>
      </c>
      <c r="C16" s="48" t="s">
        <v>45</v>
      </c>
      <c r="D16" s="49">
        <v>300</v>
      </c>
      <c r="E16" s="27">
        <f>$D16*(1+[1]Assumptions!$B$3)</f>
        <v>304.46999999999997</v>
      </c>
      <c r="F16" s="27">
        <f>$D16*(1+[1]Assumptions!$B$3)</f>
        <v>304.46999999999997</v>
      </c>
      <c r="G16" s="27">
        <f>$D16*(1+[1]Assumptions!$B$3)</f>
        <v>304.46999999999997</v>
      </c>
      <c r="H16" s="27">
        <f>$D16*(1+[1]Assumptions!$B$3)</f>
        <v>304.46999999999997</v>
      </c>
      <c r="I16" s="27">
        <f>$D16*(1+[1]Assumptions!$B$3)</f>
        <v>304.46999999999997</v>
      </c>
      <c r="J16" s="27">
        <f>$D16*(1+[1]Assumptions!$B$3)</f>
        <v>304.46999999999997</v>
      </c>
      <c r="K16" s="27">
        <f>$D16*(1+[1]Assumptions!$B$3)</f>
        <v>304.46999999999997</v>
      </c>
      <c r="L16" s="27">
        <f>$D16*(1+[1]Assumptions!$B$3)</f>
        <v>304.46999999999997</v>
      </c>
      <c r="M16" s="27">
        <f>$D16*(1+[1]Assumptions!$B$3)</f>
        <v>304.46999999999997</v>
      </c>
      <c r="N16" s="27">
        <f>$D16*(1+[1]Assumptions!$B$3)</f>
        <v>304.46999999999997</v>
      </c>
      <c r="O16" s="27">
        <f>$D16*(1+[1]Assumptions!$B$3)</f>
        <v>304.46999999999997</v>
      </c>
      <c r="P16" s="27">
        <f>$D16*(1+[1]Assumptions!$B$3)</f>
        <v>304.46999999999997</v>
      </c>
      <c r="Q16" s="28">
        <f t="shared" ref="Q16:Q54" si="3">SUM(E16:P16)</f>
        <v>3653.639999999999</v>
      </c>
      <c r="R16" s="29">
        <f>'[1]Op Budget 2015'!Q14</f>
        <v>995.1</v>
      </c>
      <c r="S16" s="27"/>
    </row>
    <row r="17" spans="1:19" x14ac:dyDescent="0.25">
      <c r="A17" s="18" t="s">
        <v>217</v>
      </c>
      <c r="B17" s="13" t="s">
        <v>205</v>
      </c>
      <c r="C17" s="13" t="s">
        <v>47</v>
      </c>
      <c r="D17" s="14">
        <v>500</v>
      </c>
      <c r="E17" s="15">
        <f>$D17</f>
        <v>500</v>
      </c>
      <c r="F17" s="15">
        <f t="shared" ref="F17:H17" si="4">$D17</f>
        <v>500</v>
      </c>
      <c r="G17" s="15">
        <f t="shared" si="4"/>
        <v>500</v>
      </c>
      <c r="H17" s="15">
        <f t="shared" si="4"/>
        <v>500</v>
      </c>
      <c r="I17" s="15">
        <v>203</v>
      </c>
      <c r="J17" s="15">
        <v>203</v>
      </c>
      <c r="K17" s="15">
        <v>203</v>
      </c>
      <c r="L17" s="15">
        <v>203</v>
      </c>
      <c r="M17" s="15">
        <v>203</v>
      </c>
      <c r="N17" s="15">
        <v>203</v>
      </c>
      <c r="O17" s="15">
        <v>203</v>
      </c>
      <c r="P17" s="15">
        <v>203</v>
      </c>
      <c r="Q17" s="16">
        <f t="shared" si="3"/>
        <v>3624</v>
      </c>
      <c r="R17" s="17">
        <f>'[1]Op Budget 2015'!Q15</f>
        <v>3610.5</v>
      </c>
    </row>
    <row r="18" spans="1:19" s="30" customFormat="1" x14ac:dyDescent="0.25">
      <c r="A18" s="30" t="s">
        <v>218</v>
      </c>
      <c r="B18" s="48" t="s">
        <v>205</v>
      </c>
      <c r="C18" s="48" t="s">
        <v>219</v>
      </c>
      <c r="D18" s="49">
        <v>0</v>
      </c>
      <c r="E18" s="27">
        <f>$D18*(1+[1]Assumptions!$B$3)</f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8">
        <f t="shared" si="3"/>
        <v>0</v>
      </c>
      <c r="R18" s="29">
        <f>'[1]Op Budget 2015'!Q16</f>
        <v>0</v>
      </c>
      <c r="S18" s="27"/>
    </row>
    <row r="19" spans="1:19" x14ac:dyDescent="0.25">
      <c r="A19" s="18" t="s">
        <v>220</v>
      </c>
      <c r="B19" s="13" t="s">
        <v>205</v>
      </c>
      <c r="C19" s="13" t="s">
        <v>221</v>
      </c>
      <c r="D19" s="14">
        <v>0</v>
      </c>
      <c r="E19" s="15">
        <f>$D19*(1+[1]Assumptions!$B$3)</f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6">
        <f t="shared" si="3"/>
        <v>0</v>
      </c>
      <c r="R19" s="17">
        <f>'[1]Op Budget 2015'!Q17</f>
        <v>0</v>
      </c>
    </row>
    <row r="20" spans="1:19" s="30" customFormat="1" x14ac:dyDescent="0.25">
      <c r="A20" s="30" t="s">
        <v>222</v>
      </c>
      <c r="B20" s="48" t="s">
        <v>205</v>
      </c>
      <c r="C20" s="48" t="s">
        <v>223</v>
      </c>
      <c r="D20" s="49">
        <v>457</v>
      </c>
      <c r="E20" s="27">
        <f>$D20*(1+[1]Assumptions!$B$3)</f>
        <v>463.80929999999995</v>
      </c>
      <c r="F20" s="27">
        <f>$D20*(1+[1]Assumptions!$B$3)</f>
        <v>463.80929999999995</v>
      </c>
      <c r="G20" s="27">
        <f>$D20*(1+[1]Assumptions!$B$3)</f>
        <v>463.80929999999995</v>
      </c>
      <c r="H20" s="27">
        <f>$D20*(1+[1]Assumptions!$B$3)</f>
        <v>463.80929999999995</v>
      </c>
      <c r="I20" s="27">
        <f>$D20*(1+[1]Assumptions!$B$3)</f>
        <v>463.80929999999995</v>
      </c>
      <c r="J20" s="27">
        <f>$D20*(1+[1]Assumptions!$B$3)</f>
        <v>463.80929999999995</v>
      </c>
      <c r="K20" s="27">
        <f>$D20*(1+[1]Assumptions!$B$3)</f>
        <v>463.80929999999995</v>
      </c>
      <c r="L20" s="27">
        <f>$D20*(1+[1]Assumptions!$B$3)</f>
        <v>463.80929999999995</v>
      </c>
      <c r="M20" s="27">
        <f>$D20*(1+[1]Assumptions!$B$3)</f>
        <v>463.80929999999995</v>
      </c>
      <c r="N20" s="27">
        <f>$D20*(1+[1]Assumptions!$B$3)</f>
        <v>463.80929999999995</v>
      </c>
      <c r="O20" s="27">
        <f>$D20*(1+[1]Assumptions!$B$3)</f>
        <v>463.80929999999995</v>
      </c>
      <c r="P20" s="27">
        <f>$D20*(1+[1]Assumptions!$B$3)</f>
        <v>463.80929999999995</v>
      </c>
      <c r="Q20" s="28">
        <f t="shared" si="3"/>
        <v>5565.7115999999996</v>
      </c>
      <c r="R20" s="29">
        <f>'[1]Op Budget 2015'!Q18</f>
        <v>0</v>
      </c>
      <c r="S20" s="27"/>
    </row>
    <row r="21" spans="1:19" x14ac:dyDescent="0.25">
      <c r="A21" s="18" t="s">
        <v>224</v>
      </c>
      <c r="B21" s="13" t="s">
        <v>205</v>
      </c>
      <c r="C21" s="13" t="s">
        <v>49</v>
      </c>
      <c r="D21" s="14">
        <v>0</v>
      </c>
      <c r="E21" s="15">
        <v>1070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1000</v>
      </c>
      <c r="P21" s="15">
        <v>1000</v>
      </c>
      <c r="Q21" s="16">
        <f t="shared" si="3"/>
        <v>3070</v>
      </c>
      <c r="R21" s="17">
        <f>'[1]Op Budget 2015'!Q19</f>
        <v>6981.2</v>
      </c>
    </row>
    <row r="22" spans="1:19" s="30" customFormat="1" x14ac:dyDescent="0.25">
      <c r="A22" s="30" t="s">
        <v>225</v>
      </c>
      <c r="B22" s="48" t="s">
        <v>205</v>
      </c>
      <c r="C22" s="48" t="s">
        <v>226</v>
      </c>
      <c r="D22" s="49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8">
        <f t="shared" si="3"/>
        <v>0</v>
      </c>
      <c r="R22" s="29">
        <f>'[1]Op Budget 2015'!Q20</f>
        <v>1500</v>
      </c>
      <c r="S22" s="27"/>
    </row>
    <row r="23" spans="1:19" x14ac:dyDescent="0.25">
      <c r="A23" s="18" t="s">
        <v>227</v>
      </c>
      <c r="B23" s="13" t="s">
        <v>205</v>
      </c>
      <c r="C23" s="13" t="s">
        <v>228</v>
      </c>
      <c r="D23" s="14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6">
        <f t="shared" si="3"/>
        <v>0</v>
      </c>
      <c r="R23" s="17">
        <f>'[1]Op Budget 2015'!Q21</f>
        <v>0</v>
      </c>
    </row>
    <row r="24" spans="1:19" s="30" customFormat="1" x14ac:dyDescent="0.25">
      <c r="A24" s="30" t="s">
        <v>167</v>
      </c>
      <c r="B24" s="48" t="s">
        <v>205</v>
      </c>
      <c r="C24" s="48" t="s">
        <v>192</v>
      </c>
      <c r="D24" s="49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8">
        <f t="shared" si="3"/>
        <v>0</v>
      </c>
      <c r="R24" s="29">
        <f>'[1]Op Budget 2015'!Q22</f>
        <v>0</v>
      </c>
      <c r="S24" s="27"/>
    </row>
    <row r="25" spans="1:19" x14ac:dyDescent="0.25">
      <c r="A25" s="18" t="s">
        <v>229</v>
      </c>
      <c r="B25" s="13" t="s">
        <v>205</v>
      </c>
      <c r="C25" s="13" t="s">
        <v>51</v>
      </c>
      <c r="D25" s="14">
        <v>0</v>
      </c>
      <c r="E25" s="15">
        <v>0</v>
      </c>
      <c r="F25" s="15">
        <v>0</v>
      </c>
      <c r="G25" s="15">
        <v>0</v>
      </c>
      <c r="H25" s="15">
        <v>420</v>
      </c>
      <c r="I25" s="15">
        <v>500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6">
        <f t="shared" si="3"/>
        <v>920</v>
      </c>
      <c r="R25" s="17">
        <f>'[1]Op Budget 2015'!Q23</f>
        <v>1093.5999999999999</v>
      </c>
    </row>
    <row r="26" spans="1:19" s="30" customFormat="1" x14ac:dyDescent="0.25">
      <c r="A26" s="30" t="s">
        <v>168</v>
      </c>
      <c r="B26" s="48" t="s">
        <v>205</v>
      </c>
      <c r="C26" s="48" t="s">
        <v>53</v>
      </c>
      <c r="D26" s="49">
        <v>0</v>
      </c>
      <c r="E26" s="27">
        <v>0</v>
      </c>
      <c r="F26" s="27">
        <v>0</v>
      </c>
      <c r="G26" s="27">
        <v>0</v>
      </c>
      <c r="H26" s="27">
        <v>2600</v>
      </c>
      <c r="I26" s="27">
        <v>4200</v>
      </c>
      <c r="J26" s="27">
        <v>0</v>
      </c>
      <c r="K26" s="27">
        <v>0</v>
      </c>
      <c r="L26" s="27">
        <v>2500</v>
      </c>
      <c r="M26" s="27">
        <v>0</v>
      </c>
      <c r="N26" s="27">
        <v>0</v>
      </c>
      <c r="O26" s="27">
        <v>2500</v>
      </c>
      <c r="P26" s="27">
        <v>0</v>
      </c>
      <c r="Q26" s="28">
        <f t="shared" si="3"/>
        <v>11800</v>
      </c>
      <c r="R26" s="29">
        <f>'[1]Op Budget 2015'!Q24</f>
        <v>17403.190000000002</v>
      </c>
      <c r="S26" s="27"/>
    </row>
    <row r="27" spans="1:19" s="30" customFormat="1" x14ac:dyDescent="0.25">
      <c r="A27" s="30" t="s">
        <v>169</v>
      </c>
      <c r="B27" s="48" t="s">
        <v>205</v>
      </c>
      <c r="C27" s="48" t="s">
        <v>55</v>
      </c>
      <c r="D27" s="49">
        <v>0</v>
      </c>
      <c r="E27" s="27">
        <v>400</v>
      </c>
      <c r="F27" s="27">
        <v>400</v>
      </c>
      <c r="G27" s="27">
        <v>400</v>
      </c>
      <c r="H27" s="27">
        <v>400</v>
      </c>
      <c r="I27" s="27">
        <v>400</v>
      </c>
      <c r="J27" s="27">
        <v>400</v>
      </c>
      <c r="K27" s="27">
        <v>400</v>
      </c>
      <c r="L27" s="27">
        <v>400</v>
      </c>
      <c r="M27" s="27">
        <v>400</v>
      </c>
      <c r="N27" s="27">
        <v>400</v>
      </c>
      <c r="O27" s="27">
        <v>400</v>
      </c>
      <c r="P27" s="27">
        <v>400</v>
      </c>
      <c r="Q27" s="28">
        <f t="shared" si="3"/>
        <v>4800</v>
      </c>
      <c r="R27" s="29">
        <f>'[1]Op Budget 2015'!Q25</f>
        <v>16309.830000000002</v>
      </c>
      <c r="S27" s="27"/>
    </row>
    <row r="28" spans="1:19" s="30" customFormat="1" x14ac:dyDescent="0.25">
      <c r="A28" s="30" t="s">
        <v>170</v>
      </c>
      <c r="B28" s="48" t="s">
        <v>205</v>
      </c>
      <c r="C28" s="48" t="s">
        <v>57</v>
      </c>
      <c r="D28" s="49">
        <v>0</v>
      </c>
      <c r="E28" s="27">
        <v>0</v>
      </c>
      <c r="F28" s="27">
        <f>$D28*(1+[1]Assumptions!$B$3)</f>
        <v>0</v>
      </c>
      <c r="G28" s="27">
        <f>$D28*(1+[1]Assumptions!$B$3)</f>
        <v>0</v>
      </c>
      <c r="H28" s="27">
        <v>0</v>
      </c>
      <c r="I28" s="27">
        <f>$D28*(1+[1]Assumptions!$B$3)</f>
        <v>0</v>
      </c>
      <c r="J28" s="27">
        <f>$D28*(1+[1]Assumptions!$B$3)</f>
        <v>0</v>
      </c>
      <c r="K28" s="27">
        <v>0</v>
      </c>
      <c r="L28" s="27">
        <f>$D28*(1+[1]Assumptions!$B$3)</f>
        <v>0</v>
      </c>
      <c r="M28" s="27">
        <f>$D28*(1+[1]Assumptions!$B$3)</f>
        <v>0</v>
      </c>
      <c r="N28" s="27">
        <v>0</v>
      </c>
      <c r="O28" s="27">
        <f>$D28*(1+[1]Assumptions!$B$3)</f>
        <v>0</v>
      </c>
      <c r="P28" s="27">
        <f>$D28*(1+[1]Assumptions!$B$3)</f>
        <v>0</v>
      </c>
      <c r="Q28" s="28">
        <f t="shared" si="3"/>
        <v>0</v>
      </c>
      <c r="R28" s="29">
        <f>'[1]Op Budget 2015'!Q26</f>
        <v>3830.1099999999997</v>
      </c>
      <c r="S28" s="27"/>
    </row>
    <row r="29" spans="1:19" x14ac:dyDescent="0.25">
      <c r="A29" s="18" t="s">
        <v>230</v>
      </c>
      <c r="B29" s="13" t="s">
        <v>205</v>
      </c>
      <c r="C29" s="13" t="s">
        <v>231</v>
      </c>
      <c r="D29" s="14">
        <v>0</v>
      </c>
      <c r="E29" s="15">
        <f>E10*0.05</f>
        <v>1703.3500000000001</v>
      </c>
      <c r="F29" s="15">
        <f t="shared" ref="F29:P29" si="5">F10*0.05</f>
        <v>1703.3500000000001</v>
      </c>
      <c r="G29" s="15">
        <f t="shared" si="5"/>
        <v>1703.3500000000001</v>
      </c>
      <c r="H29" s="15">
        <f t="shared" si="5"/>
        <v>1703.3500000000001</v>
      </c>
      <c r="I29" s="15">
        <f t="shared" si="5"/>
        <v>1780.4177419354842</v>
      </c>
      <c r="J29" s="15">
        <f t="shared" si="5"/>
        <v>1874</v>
      </c>
      <c r="K29" s="15">
        <f t="shared" si="5"/>
        <v>1941.5</v>
      </c>
      <c r="L29" s="15">
        <f t="shared" si="5"/>
        <v>1941.5</v>
      </c>
      <c r="M29" s="15">
        <f t="shared" si="5"/>
        <v>2014.8375000000001</v>
      </c>
      <c r="N29" s="15">
        <f t="shared" si="5"/>
        <v>2088.1750000000002</v>
      </c>
      <c r="O29" s="15">
        <f t="shared" si="5"/>
        <v>2234.85</v>
      </c>
      <c r="P29" s="15">
        <f t="shared" si="5"/>
        <v>2234.85</v>
      </c>
      <c r="Q29" s="16">
        <f t="shared" si="3"/>
        <v>22923.530241935481</v>
      </c>
      <c r="R29" s="17">
        <f>'[1]Op Budget 2015'!Q27</f>
        <v>0</v>
      </c>
    </row>
    <row r="30" spans="1:19" s="30" customFormat="1" x14ac:dyDescent="0.25">
      <c r="A30" s="30" t="s">
        <v>232</v>
      </c>
      <c r="B30" s="48" t="s">
        <v>205</v>
      </c>
      <c r="C30" s="48" t="s">
        <v>233</v>
      </c>
      <c r="D30" s="49">
        <f>'[1]Op Budget 2015'!Q28/12</f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8">
        <f t="shared" si="3"/>
        <v>0</v>
      </c>
      <c r="R30" s="29">
        <f>'[1]Op Budget 2015'!Q28</f>
        <v>0</v>
      </c>
      <c r="S30" s="27"/>
    </row>
    <row r="31" spans="1:19" x14ac:dyDescent="0.25">
      <c r="A31" s="18" t="s">
        <v>234</v>
      </c>
      <c r="B31" s="13" t="s">
        <v>205</v>
      </c>
      <c r="C31" s="13" t="s">
        <v>63</v>
      </c>
      <c r="D31" s="14">
        <v>200</v>
      </c>
      <c r="E31" s="15">
        <f>$D31*(1+[1]Assumptions!$B$3)</f>
        <v>202.98</v>
      </c>
      <c r="F31" s="15">
        <f>$D31*(1+[1]Assumptions!$B$3)</f>
        <v>202.98</v>
      </c>
      <c r="G31" s="15">
        <f>$D31*(1+[1]Assumptions!$B$3)</f>
        <v>202.98</v>
      </c>
      <c r="H31" s="15">
        <f>$D31*(1+[1]Assumptions!$B$3)</f>
        <v>202.98</v>
      </c>
      <c r="I31" s="15">
        <f>$D31*(1+[1]Assumptions!$B$3)</f>
        <v>202.98</v>
      </c>
      <c r="J31" s="15">
        <f>$D31*(1+[1]Assumptions!$B$3)</f>
        <v>202.98</v>
      </c>
      <c r="K31" s="15">
        <f>$D31*(1+[1]Assumptions!$B$3)</f>
        <v>202.98</v>
      </c>
      <c r="L31" s="15">
        <f>$D31*(1+[1]Assumptions!$B$3)</f>
        <v>202.98</v>
      </c>
      <c r="M31" s="15">
        <f>$D31*(1+[1]Assumptions!$B$3)</f>
        <v>202.98</v>
      </c>
      <c r="N31" s="15">
        <f>$D31*(1+[1]Assumptions!$B$3)</f>
        <v>202.98</v>
      </c>
      <c r="O31" s="15">
        <f>$D31*(1+[1]Assumptions!$B$3)</f>
        <v>202.98</v>
      </c>
      <c r="P31" s="15">
        <f>$D31*(1+[1]Assumptions!$B$3)</f>
        <v>202.98</v>
      </c>
      <c r="Q31" s="16">
        <f t="shared" si="3"/>
        <v>2435.7599999999998</v>
      </c>
      <c r="R31" s="17">
        <f>'[1]Op Budget 2015'!Q29</f>
        <v>16278.9</v>
      </c>
    </row>
    <row r="32" spans="1:19" s="30" customFormat="1" x14ac:dyDescent="0.25">
      <c r="A32" s="30" t="s">
        <v>235</v>
      </c>
      <c r="B32" s="48" t="s">
        <v>205</v>
      </c>
      <c r="C32" s="48" t="s">
        <v>236</v>
      </c>
      <c r="D32" s="49">
        <f>'[1]Op Budget 2015'!Q30/12</f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8">
        <f t="shared" si="3"/>
        <v>0</v>
      </c>
      <c r="R32" s="29">
        <f>'[1]Op Budget 2015'!Q30</f>
        <v>0</v>
      </c>
      <c r="S32" s="27"/>
    </row>
    <row r="33" spans="1:19" x14ac:dyDescent="0.25">
      <c r="A33" s="18" t="s">
        <v>237</v>
      </c>
      <c r="B33" s="13" t="s">
        <v>205</v>
      </c>
      <c r="C33" s="13" t="s">
        <v>238</v>
      </c>
      <c r="D33" s="14">
        <f>'[1]Op Budget 2015'!Q31/12</f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6">
        <f t="shared" si="3"/>
        <v>0</v>
      </c>
      <c r="R33" s="17">
        <f>'[1]Op Budget 2015'!Q31</f>
        <v>0</v>
      </c>
    </row>
    <row r="34" spans="1:19" s="30" customFormat="1" x14ac:dyDescent="0.25">
      <c r="A34" s="30" t="s">
        <v>239</v>
      </c>
      <c r="B34" s="48" t="s">
        <v>205</v>
      </c>
      <c r="C34" s="48" t="s">
        <v>71</v>
      </c>
      <c r="D34" s="49">
        <v>0</v>
      </c>
      <c r="E34" s="27">
        <v>22163.75</v>
      </c>
      <c r="F34" s="27">
        <v>0</v>
      </c>
      <c r="G34" s="27">
        <v>0</v>
      </c>
      <c r="H34" s="27">
        <v>22163.75</v>
      </c>
      <c r="I34" s="27">
        <v>0</v>
      </c>
      <c r="J34" s="27">
        <v>0</v>
      </c>
      <c r="K34" s="27">
        <v>22163.75</v>
      </c>
      <c r="L34" s="27">
        <v>0</v>
      </c>
      <c r="M34" s="27">
        <v>0</v>
      </c>
      <c r="N34" s="27">
        <v>22163.75</v>
      </c>
      <c r="O34" s="27">
        <v>0</v>
      </c>
      <c r="P34" s="27">
        <v>0</v>
      </c>
      <c r="Q34" s="28">
        <f t="shared" si="3"/>
        <v>88655</v>
      </c>
      <c r="R34" s="29">
        <f>'[1]Op Budget 2015'!Q32</f>
        <v>88655</v>
      </c>
      <c r="S34" s="27"/>
    </row>
    <row r="35" spans="1:19" x14ac:dyDescent="0.25">
      <c r="A35" s="18" t="s">
        <v>240</v>
      </c>
      <c r="B35" s="13" t="s">
        <v>205</v>
      </c>
      <c r="C35" s="13" t="s">
        <v>73</v>
      </c>
      <c r="D35" s="14">
        <v>0</v>
      </c>
      <c r="E35" s="15">
        <v>0</v>
      </c>
      <c r="F35" s="15">
        <v>0</v>
      </c>
      <c r="G35" s="15">
        <v>300</v>
      </c>
      <c r="H35" s="15">
        <v>0</v>
      </c>
      <c r="I35" s="15">
        <v>0</v>
      </c>
      <c r="J35" s="15">
        <v>970</v>
      </c>
      <c r="K35" s="15">
        <v>0</v>
      </c>
      <c r="L35" s="15">
        <v>0</v>
      </c>
      <c r="M35" s="15">
        <v>970</v>
      </c>
      <c r="N35" s="15">
        <v>0</v>
      </c>
      <c r="O35" s="15">
        <v>0</v>
      </c>
      <c r="P35" s="15">
        <v>0</v>
      </c>
      <c r="Q35" s="16">
        <f t="shared" si="3"/>
        <v>2240</v>
      </c>
      <c r="R35" s="17">
        <f>'[1]Op Budget 2015'!Q33</f>
        <v>1652</v>
      </c>
    </row>
    <row r="36" spans="1:19" s="30" customFormat="1" x14ac:dyDescent="0.25">
      <c r="A36" s="30" t="s">
        <v>241</v>
      </c>
      <c r="B36" s="48" t="s">
        <v>205</v>
      </c>
      <c r="C36" s="48" t="s">
        <v>75</v>
      </c>
      <c r="D36" s="49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8">
        <f t="shared" si="3"/>
        <v>0</v>
      </c>
      <c r="R36" s="29">
        <f>'[1]Op Budget 2015'!Q34</f>
        <v>5019.4699999999993</v>
      </c>
      <c r="S36" s="27"/>
    </row>
    <row r="37" spans="1:19" x14ac:dyDescent="0.25">
      <c r="A37" s="18" t="s">
        <v>242</v>
      </c>
      <c r="B37" s="13" t="s">
        <v>205</v>
      </c>
      <c r="C37" s="13" t="s">
        <v>243</v>
      </c>
      <c r="D37" s="14">
        <f>'[1]Op Budget 2015'!Q35/12</f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6">
        <f t="shared" si="3"/>
        <v>0</v>
      </c>
      <c r="R37" s="17">
        <f>'[1]Op Budget 2015'!Q35</f>
        <v>0</v>
      </c>
    </row>
    <row r="38" spans="1:19" s="30" customFormat="1" x14ac:dyDescent="0.25">
      <c r="A38" s="30" t="s">
        <v>244</v>
      </c>
      <c r="B38" s="48" t="s">
        <v>205</v>
      </c>
      <c r="C38" s="48" t="s">
        <v>245</v>
      </c>
      <c r="D38" s="49">
        <f>'[1]Op Budget 2015'!Q36/12</f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8">
        <f t="shared" si="3"/>
        <v>0</v>
      </c>
      <c r="R38" s="29">
        <f>'[1]Op Budget 2015'!Q36</f>
        <v>0</v>
      </c>
      <c r="S38" s="27"/>
    </row>
    <row r="39" spans="1:19" x14ac:dyDescent="0.25">
      <c r="A39" s="18" t="s">
        <v>246</v>
      </c>
      <c r="B39" s="13" t="s">
        <v>205</v>
      </c>
      <c r="C39" s="13" t="s">
        <v>247</v>
      </c>
      <c r="D39" s="14">
        <f>'[1]Op Budget 2015'!Q37/12</f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6">
        <f t="shared" si="3"/>
        <v>0</v>
      </c>
      <c r="R39" s="17">
        <f>'[1]Op Budget 2015'!Q37</f>
        <v>0</v>
      </c>
    </row>
    <row r="40" spans="1:19" s="30" customFormat="1" x14ac:dyDescent="0.25">
      <c r="A40" s="30" t="s">
        <v>171</v>
      </c>
      <c r="B40" s="48" t="s">
        <v>205</v>
      </c>
      <c r="C40" s="48" t="s">
        <v>79</v>
      </c>
      <c r="D40" s="49">
        <v>15</v>
      </c>
      <c r="E40" s="27">
        <f>$D40*(1+[1]Assumptions!$B$3)</f>
        <v>15.223499999999998</v>
      </c>
      <c r="F40" s="27">
        <f>$D40*(1+[1]Assumptions!$B$3)</f>
        <v>15.223499999999998</v>
      </c>
      <c r="G40" s="27">
        <f>$D40*(1+[1]Assumptions!$B$3)</f>
        <v>15.223499999999998</v>
      </c>
      <c r="H40" s="27">
        <f>$D40*(1+[1]Assumptions!$B$3)</f>
        <v>15.223499999999998</v>
      </c>
      <c r="I40" s="27">
        <f>$D40*(1+[1]Assumptions!$B$3)</f>
        <v>15.223499999999998</v>
      </c>
      <c r="J40" s="27">
        <f>$D40*(1+[1]Assumptions!$B$3)</f>
        <v>15.223499999999998</v>
      </c>
      <c r="K40" s="27">
        <f>$D40*(1+[1]Assumptions!$B$3)</f>
        <v>15.223499999999998</v>
      </c>
      <c r="L40" s="27">
        <f>$D40*(1+[1]Assumptions!$B$3)</f>
        <v>15.223499999999998</v>
      </c>
      <c r="M40" s="27">
        <f>$D40*(1+[1]Assumptions!$B$3)</f>
        <v>15.223499999999998</v>
      </c>
      <c r="N40" s="27">
        <f>$D40*(1+[1]Assumptions!$B$3)</f>
        <v>15.223499999999998</v>
      </c>
      <c r="O40" s="27">
        <f>$D40*(1+[1]Assumptions!$B$3)</f>
        <v>15.223499999999998</v>
      </c>
      <c r="P40" s="27">
        <f>$D40*(1+[1]Assumptions!$B$3)</f>
        <v>15.223499999999998</v>
      </c>
      <c r="Q40" s="28">
        <f t="shared" si="3"/>
        <v>182.68199999999999</v>
      </c>
      <c r="R40" s="29">
        <f>'[1]Op Budget 2015'!Q38</f>
        <v>0</v>
      </c>
      <c r="S40" s="27"/>
    </row>
    <row r="41" spans="1:19" x14ac:dyDescent="0.25">
      <c r="A41" s="18" t="s">
        <v>248</v>
      </c>
      <c r="B41" s="13" t="s">
        <v>205</v>
      </c>
      <c r="C41" s="13" t="s">
        <v>249</v>
      </c>
      <c r="D41" s="14">
        <f>'[1]Op Budget 2015'!Q39/12</f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6">
        <f t="shared" si="3"/>
        <v>0</v>
      </c>
      <c r="R41" s="17">
        <f>'[1]Op Budget 2015'!Q39</f>
        <v>0</v>
      </c>
    </row>
    <row r="42" spans="1:19" s="30" customFormat="1" x14ac:dyDescent="0.25">
      <c r="A42" s="30" t="s">
        <v>172</v>
      </c>
      <c r="B42" s="48" t="s">
        <v>205</v>
      </c>
      <c r="C42" s="48" t="s">
        <v>85</v>
      </c>
      <c r="D42" s="49">
        <f>'[1]Op Budget 2015'!Q40/12</f>
        <v>913.61083333333329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8">
        <f t="shared" si="3"/>
        <v>0</v>
      </c>
      <c r="R42" s="29">
        <f>'[1]Op Budget 2015'!Q40</f>
        <v>10963.33</v>
      </c>
      <c r="S42" s="27"/>
    </row>
    <row r="43" spans="1:19" x14ac:dyDescent="0.25">
      <c r="A43" s="18" t="s">
        <v>250</v>
      </c>
      <c r="B43" s="13" t="s">
        <v>205</v>
      </c>
      <c r="C43" s="13" t="s">
        <v>87</v>
      </c>
      <c r="D43" s="14">
        <v>0</v>
      </c>
      <c r="E43" s="15">
        <v>2000</v>
      </c>
      <c r="F43" s="15">
        <v>200</v>
      </c>
      <c r="G43" s="15">
        <v>2000</v>
      </c>
      <c r="H43" s="15">
        <v>750</v>
      </c>
      <c r="I43" s="15">
        <v>750</v>
      </c>
      <c r="J43" s="15">
        <v>350</v>
      </c>
      <c r="K43" s="15">
        <v>350</v>
      </c>
      <c r="L43" s="15">
        <v>350</v>
      </c>
      <c r="M43" s="15">
        <v>350</v>
      </c>
      <c r="N43" s="15">
        <v>350</v>
      </c>
      <c r="O43" s="15">
        <v>350</v>
      </c>
      <c r="P43" s="15">
        <v>350</v>
      </c>
      <c r="Q43" s="16">
        <f t="shared" si="3"/>
        <v>8150</v>
      </c>
      <c r="R43" s="17">
        <f>'[1]Op Budget 2015'!Q41</f>
        <v>16965.75</v>
      </c>
    </row>
    <row r="44" spans="1:19" s="30" customFormat="1" x14ac:dyDescent="0.25">
      <c r="A44" s="30" t="s">
        <v>251</v>
      </c>
      <c r="B44" s="48" t="s">
        <v>205</v>
      </c>
      <c r="C44" s="48" t="s">
        <v>89</v>
      </c>
      <c r="D44" s="49">
        <v>300</v>
      </c>
      <c r="E44" s="27">
        <f>$D44</f>
        <v>300</v>
      </c>
      <c r="F44" s="27">
        <f t="shared" ref="F44:P44" si="6">$D44</f>
        <v>300</v>
      </c>
      <c r="G44" s="27">
        <f t="shared" si="6"/>
        <v>300</v>
      </c>
      <c r="H44" s="27">
        <f t="shared" si="6"/>
        <v>300</v>
      </c>
      <c r="I44" s="27">
        <f t="shared" si="6"/>
        <v>300</v>
      </c>
      <c r="J44" s="27">
        <f t="shared" si="6"/>
        <v>300</v>
      </c>
      <c r="K44" s="27">
        <f t="shared" si="6"/>
        <v>300</v>
      </c>
      <c r="L44" s="27">
        <f t="shared" si="6"/>
        <v>300</v>
      </c>
      <c r="M44" s="27">
        <f t="shared" si="6"/>
        <v>300</v>
      </c>
      <c r="N44" s="27">
        <f t="shared" si="6"/>
        <v>300</v>
      </c>
      <c r="O44" s="27">
        <f t="shared" si="6"/>
        <v>300</v>
      </c>
      <c r="P44" s="27">
        <f t="shared" si="6"/>
        <v>300</v>
      </c>
      <c r="Q44" s="28">
        <f t="shared" si="3"/>
        <v>3600</v>
      </c>
      <c r="R44" s="29">
        <f>'[1]Op Budget 2015'!Q42</f>
        <v>12170</v>
      </c>
      <c r="S44" s="27"/>
    </row>
    <row r="45" spans="1:19" x14ac:dyDescent="0.25">
      <c r="A45" s="18" t="s">
        <v>252</v>
      </c>
      <c r="B45" s="13" t="s">
        <v>205</v>
      </c>
      <c r="C45" s="13" t="s">
        <v>91</v>
      </c>
      <c r="D45" s="14">
        <f>'[1]Op Budget 2015'!Q43/12</f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6">
        <f t="shared" si="3"/>
        <v>0</v>
      </c>
      <c r="R45" s="17">
        <f>'[1]Op Budget 2015'!Q43</f>
        <v>0</v>
      </c>
    </row>
    <row r="46" spans="1:19" s="30" customFormat="1" x14ac:dyDescent="0.25">
      <c r="A46" s="30" t="s">
        <v>253</v>
      </c>
      <c r="B46" s="48" t="s">
        <v>205</v>
      </c>
      <c r="C46" s="48" t="s">
        <v>254</v>
      </c>
      <c r="D46" s="49">
        <f>'[1]Op Budget 2015'!Q44/12</f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8">
        <f t="shared" si="3"/>
        <v>0</v>
      </c>
      <c r="R46" s="29">
        <f>'[1]Op Budget 2015'!Q44</f>
        <v>0</v>
      </c>
      <c r="S46" s="27"/>
    </row>
    <row r="47" spans="1:19" x14ac:dyDescent="0.25">
      <c r="A47" s="18" t="s">
        <v>255</v>
      </c>
      <c r="B47" s="13" t="s">
        <v>205</v>
      </c>
      <c r="C47" s="13" t="s">
        <v>256</v>
      </c>
      <c r="D47" s="14">
        <v>100</v>
      </c>
      <c r="E47" s="15">
        <f>$D47*(1+[1]Assumptions!$B$3)</f>
        <v>101.49</v>
      </c>
      <c r="F47" s="15">
        <f>$D47*(1+[1]Assumptions!$B$3)</f>
        <v>101.49</v>
      </c>
      <c r="G47" s="15">
        <f>$D47*(1+[1]Assumptions!$B$3)</f>
        <v>101.49</v>
      </c>
      <c r="H47" s="15">
        <f>$D47*(1+[1]Assumptions!$B$3)</f>
        <v>101.49</v>
      </c>
      <c r="I47" s="15">
        <f>$D47*(1+[1]Assumptions!$B$3)</f>
        <v>101.49</v>
      </c>
      <c r="J47" s="15">
        <f>$D47*(1+[1]Assumptions!$B$3)</f>
        <v>101.49</v>
      </c>
      <c r="K47" s="15">
        <f>$D47*(1+[1]Assumptions!$B$3)</f>
        <v>101.49</v>
      </c>
      <c r="L47" s="15">
        <f>$D47*(1+[1]Assumptions!$B$3)</f>
        <v>101.49</v>
      </c>
      <c r="M47" s="15">
        <f>$D47*(1+[1]Assumptions!$B$3)</f>
        <v>101.49</v>
      </c>
      <c r="N47" s="15">
        <f>$D47*(1+[1]Assumptions!$B$3)</f>
        <v>101.49</v>
      </c>
      <c r="O47" s="15">
        <f>$D47*(1+[1]Assumptions!$B$3)</f>
        <v>101.49</v>
      </c>
      <c r="P47" s="15">
        <f>$D47*(1+[1]Assumptions!$B$3)</f>
        <v>101.49</v>
      </c>
      <c r="Q47" s="16">
        <f t="shared" si="3"/>
        <v>1217.8799999999999</v>
      </c>
      <c r="R47" s="17">
        <f>'[1]Op Budget 2015'!Q45</f>
        <v>1058.8900000000001</v>
      </c>
    </row>
    <row r="48" spans="1:19" s="30" customFormat="1" x14ac:dyDescent="0.25">
      <c r="A48" s="30" t="s">
        <v>257</v>
      </c>
      <c r="B48" s="48" t="s">
        <v>205</v>
      </c>
      <c r="C48" s="48" t="s">
        <v>97</v>
      </c>
      <c r="D48" s="49">
        <f>'[1]Op Budget 2015'!Q46/12</f>
        <v>16.2225</v>
      </c>
      <c r="E48" s="27">
        <v>0</v>
      </c>
      <c r="F48" s="27">
        <v>0</v>
      </c>
      <c r="G48" s="27">
        <v>103</v>
      </c>
      <c r="H48" s="27">
        <v>20</v>
      </c>
      <c r="I48" s="27">
        <v>0</v>
      </c>
      <c r="J48" s="27">
        <v>0</v>
      </c>
      <c r="K48" s="27">
        <v>117</v>
      </c>
      <c r="L48" s="27">
        <v>78</v>
      </c>
      <c r="M48" s="27">
        <v>0</v>
      </c>
      <c r="N48" s="27">
        <v>0</v>
      </c>
      <c r="O48" s="27">
        <v>0</v>
      </c>
      <c r="P48" s="27">
        <v>0</v>
      </c>
      <c r="Q48" s="28">
        <f t="shared" si="3"/>
        <v>318</v>
      </c>
      <c r="R48" s="29">
        <f>'[1]Op Budget 2015'!Q46</f>
        <v>194.67000000000002</v>
      </c>
      <c r="S48" s="27"/>
    </row>
    <row r="49" spans="1:19" x14ac:dyDescent="0.25">
      <c r="A49" s="18" t="s">
        <v>258</v>
      </c>
      <c r="B49" s="13" t="s">
        <v>205</v>
      </c>
      <c r="C49" s="13" t="s">
        <v>99</v>
      </c>
      <c r="D49" s="14">
        <v>80</v>
      </c>
      <c r="E49" s="15">
        <f>$D49*(1+[1]Assumptions!$B$3)</f>
        <v>81.191999999999993</v>
      </c>
      <c r="F49" s="15">
        <f>$D49*(1+[1]Assumptions!$B$3)</f>
        <v>81.191999999999993</v>
      </c>
      <c r="G49" s="15">
        <f>$D49*(1+[1]Assumptions!$B$3)</f>
        <v>81.191999999999993</v>
      </c>
      <c r="H49" s="15">
        <f>$D49*(1+[1]Assumptions!$B$3)</f>
        <v>81.191999999999993</v>
      </c>
      <c r="I49" s="15">
        <f>$D49*(1+[1]Assumptions!$B$3)</f>
        <v>81.191999999999993</v>
      </c>
      <c r="J49" s="15">
        <f>$D49*(1+[1]Assumptions!$B$3)</f>
        <v>81.191999999999993</v>
      </c>
      <c r="K49" s="15">
        <f>$D49*(1+[1]Assumptions!$B$3)</f>
        <v>81.191999999999993</v>
      </c>
      <c r="L49" s="15">
        <f>$D49*(1+[1]Assumptions!$B$3)</f>
        <v>81.191999999999993</v>
      </c>
      <c r="M49" s="15">
        <f>$D49*(1+[1]Assumptions!$B$3)</f>
        <v>81.191999999999993</v>
      </c>
      <c r="N49" s="15">
        <f>$D49*(1+[1]Assumptions!$B$3)</f>
        <v>81.191999999999993</v>
      </c>
      <c r="O49" s="15">
        <f>$D49*(1+[1]Assumptions!$B$3)</f>
        <v>81.191999999999993</v>
      </c>
      <c r="P49" s="15">
        <f>$D49*(1+[1]Assumptions!$B$3)</f>
        <v>81.191999999999993</v>
      </c>
      <c r="Q49" s="16">
        <f t="shared" si="3"/>
        <v>974.30399999999997</v>
      </c>
      <c r="R49" s="17">
        <f>'[1]Op Budget 2015'!Q47</f>
        <v>681.67000000000007</v>
      </c>
    </row>
    <row r="50" spans="1:19" s="30" customFormat="1" x14ac:dyDescent="0.25">
      <c r="A50" s="30" t="s">
        <v>259</v>
      </c>
      <c r="B50" s="48" t="s">
        <v>205</v>
      </c>
      <c r="C50" s="48" t="s">
        <v>260</v>
      </c>
      <c r="D50" s="49">
        <f>'[1]Op Budget 2015'!Q48/12</f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3500</v>
      </c>
      <c r="Q50" s="28">
        <f t="shared" si="3"/>
        <v>3500</v>
      </c>
      <c r="R50" s="29">
        <f>'[1]Op Budget 2015'!Q48</f>
        <v>0</v>
      </c>
      <c r="S50" s="27"/>
    </row>
    <row r="51" spans="1:19" x14ac:dyDescent="0.25">
      <c r="A51" s="18" t="s">
        <v>261</v>
      </c>
      <c r="B51" s="13" t="s">
        <v>205</v>
      </c>
      <c r="C51" s="13" t="s">
        <v>101</v>
      </c>
      <c r="D51" s="14">
        <v>50</v>
      </c>
      <c r="E51" s="15">
        <f>$D51</f>
        <v>50</v>
      </c>
      <c r="F51" s="15">
        <f t="shared" ref="F51:P51" si="7">$D51</f>
        <v>50</v>
      </c>
      <c r="G51" s="15">
        <f t="shared" si="7"/>
        <v>50</v>
      </c>
      <c r="H51" s="15">
        <f t="shared" si="7"/>
        <v>50</v>
      </c>
      <c r="I51" s="15">
        <f t="shared" si="7"/>
        <v>50</v>
      </c>
      <c r="J51" s="15">
        <f t="shared" si="7"/>
        <v>50</v>
      </c>
      <c r="K51" s="15">
        <f t="shared" si="7"/>
        <v>50</v>
      </c>
      <c r="L51" s="15">
        <f t="shared" si="7"/>
        <v>50</v>
      </c>
      <c r="M51" s="15">
        <f t="shared" si="7"/>
        <v>50</v>
      </c>
      <c r="N51" s="15">
        <f t="shared" si="7"/>
        <v>50</v>
      </c>
      <c r="O51" s="15">
        <f t="shared" si="7"/>
        <v>50</v>
      </c>
      <c r="P51" s="15">
        <f t="shared" si="7"/>
        <v>50</v>
      </c>
      <c r="Q51" s="16">
        <f t="shared" si="3"/>
        <v>600</v>
      </c>
      <c r="R51" s="17">
        <f>'[1]Op Budget 2015'!Q49</f>
        <v>251</v>
      </c>
    </row>
    <row r="52" spans="1:19" s="30" customFormat="1" x14ac:dyDescent="0.25">
      <c r="A52" s="30" t="s">
        <v>262</v>
      </c>
      <c r="B52" s="48" t="s">
        <v>205</v>
      </c>
      <c r="C52" s="48" t="s">
        <v>263</v>
      </c>
      <c r="D52" s="49">
        <f>'[1]Op Budget 2015'!Q50/12</f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8">
        <f t="shared" si="3"/>
        <v>0</v>
      </c>
      <c r="R52" s="29">
        <f>'[1]Op Budget 2015'!Q50</f>
        <v>0</v>
      </c>
      <c r="S52" s="27"/>
    </row>
    <row r="53" spans="1:19" x14ac:dyDescent="0.25">
      <c r="A53" s="18" t="s">
        <v>264</v>
      </c>
      <c r="B53" s="13" t="s">
        <v>205</v>
      </c>
      <c r="C53" s="13" t="s">
        <v>103</v>
      </c>
      <c r="D53" s="14">
        <v>15</v>
      </c>
      <c r="E53" s="15">
        <f>$D53</f>
        <v>15</v>
      </c>
      <c r="F53" s="15">
        <f t="shared" ref="F53:P53" si="8">$D53</f>
        <v>15</v>
      </c>
      <c r="G53" s="15">
        <f t="shared" si="8"/>
        <v>15</v>
      </c>
      <c r="H53" s="15">
        <f t="shared" si="8"/>
        <v>15</v>
      </c>
      <c r="I53" s="15">
        <f t="shared" si="8"/>
        <v>15</v>
      </c>
      <c r="J53" s="15">
        <f t="shared" si="8"/>
        <v>15</v>
      </c>
      <c r="K53" s="15">
        <f t="shared" si="8"/>
        <v>15</v>
      </c>
      <c r="L53" s="15">
        <f t="shared" si="8"/>
        <v>15</v>
      </c>
      <c r="M53" s="15">
        <f t="shared" si="8"/>
        <v>15</v>
      </c>
      <c r="N53" s="15">
        <f t="shared" si="8"/>
        <v>15</v>
      </c>
      <c r="O53" s="15">
        <f t="shared" si="8"/>
        <v>15</v>
      </c>
      <c r="P53" s="15">
        <f t="shared" si="8"/>
        <v>15</v>
      </c>
      <c r="Q53" s="16">
        <f t="shared" si="3"/>
        <v>180</v>
      </c>
      <c r="R53" s="17">
        <f>'[1]Op Budget 2015'!Q51</f>
        <v>98.06</v>
      </c>
    </row>
    <row r="54" spans="1:19" s="30" customFormat="1" x14ac:dyDescent="0.25">
      <c r="A54" s="30" t="s">
        <v>265</v>
      </c>
      <c r="B54" s="48" t="s">
        <v>205</v>
      </c>
      <c r="C54" s="48"/>
      <c r="D54" s="49">
        <f>'[1]Op Budget 2015'!Q52/12</f>
        <v>10.145000000000001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8">
        <f t="shared" si="3"/>
        <v>0</v>
      </c>
      <c r="R54" s="29">
        <f>'[1]Op Budget 2015'!Q52</f>
        <v>121.74000000000001</v>
      </c>
      <c r="S54" s="27"/>
    </row>
    <row r="56" spans="1:19" s="34" customFormat="1" x14ac:dyDescent="0.25">
      <c r="A56" s="34" t="s">
        <v>266</v>
      </c>
      <c r="B56" s="35"/>
      <c r="C56" s="35"/>
      <c r="D56" s="36"/>
      <c r="E56" s="50">
        <f t="shared" ref="E56:P56" si="9">SUM(E15:E55)</f>
        <v>29371.264800000001</v>
      </c>
      <c r="F56" s="50">
        <f t="shared" si="9"/>
        <v>4337.5147999999999</v>
      </c>
      <c r="G56" s="50">
        <f t="shared" si="9"/>
        <v>6540.5147999999999</v>
      </c>
      <c r="H56" s="50">
        <f t="shared" si="9"/>
        <v>30688.264800000001</v>
      </c>
      <c r="I56" s="50">
        <f t="shared" si="9"/>
        <v>9964.5825419354824</v>
      </c>
      <c r="J56" s="50">
        <f t="shared" si="9"/>
        <v>5928.1647999999996</v>
      </c>
      <c r="K56" s="50">
        <f t="shared" si="9"/>
        <v>27306.414799999999</v>
      </c>
      <c r="L56" s="50">
        <f t="shared" si="9"/>
        <v>7603.6647999999996</v>
      </c>
      <c r="M56" s="50">
        <f t="shared" si="9"/>
        <v>6069.0022999999992</v>
      </c>
      <c r="N56" s="50">
        <f t="shared" si="9"/>
        <v>27336.089800000002</v>
      </c>
      <c r="O56" s="50">
        <f t="shared" si="9"/>
        <v>8772.014799999999</v>
      </c>
      <c r="P56" s="50">
        <f t="shared" si="9"/>
        <v>9772.0148000000008</v>
      </c>
      <c r="Q56" s="38">
        <f>SUM(E56:P56)</f>
        <v>173689.5078419355</v>
      </c>
      <c r="R56" s="39">
        <f>SUM(R15:R55)</f>
        <v>206422.51</v>
      </c>
      <c r="S56" s="37"/>
    </row>
    <row r="58" spans="1:19" s="45" customFormat="1" x14ac:dyDescent="0.25">
      <c r="A58" s="45" t="s">
        <v>267</v>
      </c>
      <c r="B58" s="40"/>
      <c r="C58" s="40"/>
      <c r="D58" s="41"/>
      <c r="E58" s="42">
        <f>SUM(E15:E29)</f>
        <v>4441.6293000000005</v>
      </c>
      <c r="F58" s="42">
        <f t="shared" ref="F58:P58" si="10">SUM(F15:F29)</f>
        <v>3371.6293000000001</v>
      </c>
      <c r="G58" s="42">
        <f t="shared" si="10"/>
        <v>3371.6293000000001</v>
      </c>
      <c r="H58" s="42">
        <f t="shared" si="10"/>
        <v>6988.6293000000005</v>
      </c>
      <c r="I58" s="42">
        <f t="shared" si="10"/>
        <v>8448.6970419354839</v>
      </c>
      <c r="J58" s="42">
        <f t="shared" si="10"/>
        <v>3842.2793000000001</v>
      </c>
      <c r="K58" s="42">
        <f t="shared" si="10"/>
        <v>3909.7793000000001</v>
      </c>
      <c r="L58" s="42">
        <f t="shared" si="10"/>
        <v>6409.7793000000001</v>
      </c>
      <c r="M58" s="42">
        <f t="shared" si="10"/>
        <v>3983.1167999999998</v>
      </c>
      <c r="N58" s="42">
        <f t="shared" si="10"/>
        <v>4056.4543000000003</v>
      </c>
      <c r="O58" s="42">
        <f t="shared" si="10"/>
        <v>7656.1293000000005</v>
      </c>
      <c r="P58" s="42">
        <f t="shared" si="10"/>
        <v>5156.1293000000005</v>
      </c>
      <c r="Q58" s="43">
        <f>SUM(E58:P58)</f>
        <v>61635.881841935494</v>
      </c>
      <c r="R58" s="44">
        <f>'[1]Op Budget 2015'!Q56</f>
        <v>52312.03</v>
      </c>
      <c r="S58" s="42"/>
    </row>
    <row r="60" spans="1:19" s="45" customFormat="1" x14ac:dyDescent="0.25">
      <c r="A60" s="45" t="s">
        <v>268</v>
      </c>
      <c r="B60" s="40"/>
      <c r="C60" s="40"/>
      <c r="D60" s="41"/>
      <c r="E60" s="42">
        <f>('[1]Min Rent 2015'!$C$15*0.5)/12</f>
        <v>912.375</v>
      </c>
      <c r="F60" s="42">
        <f>('[1]Min Rent 2015'!$C$15*0.5)/12</f>
        <v>912.375</v>
      </c>
      <c r="G60" s="42">
        <f>('[1]Min Rent 2015'!$C$15*0.5)/12</f>
        <v>912.375</v>
      </c>
      <c r="H60" s="42">
        <f>('[1]Min Rent 2015'!$C$15*0.5)/12</f>
        <v>912.375</v>
      </c>
      <c r="I60" s="42">
        <f>('[1]Min Rent 2015'!$C$15*0.5)/12</f>
        <v>912.375</v>
      </c>
      <c r="J60" s="42">
        <f>('[1]Min Rent 2015'!$C$15*0.5)/12</f>
        <v>912.375</v>
      </c>
      <c r="K60" s="42">
        <f>('[1]Min Rent 2015'!$C$15*0.5)/12</f>
        <v>912.375</v>
      </c>
      <c r="L60" s="42">
        <f>('[1]Min Rent 2015'!$C$15*0.5)/12</f>
        <v>912.375</v>
      </c>
      <c r="M60" s="42">
        <f>('[1]Min Rent 2015'!$C$15*0.5)/12</f>
        <v>912.375</v>
      </c>
      <c r="N60" s="42">
        <f>('[1]Min Rent 2015'!$C$15*0.5)/12</f>
        <v>912.375</v>
      </c>
      <c r="O60" s="42">
        <f>('[1]Min Rent 2015'!$C$15*0.5)/12</f>
        <v>912.375</v>
      </c>
      <c r="P60" s="42">
        <f>('[1]Min Rent 2015'!$C$15*0.5)/12</f>
        <v>912.375</v>
      </c>
      <c r="Q60" s="43">
        <f>SUM(E60:P60)</f>
        <v>10948.5</v>
      </c>
      <c r="R60" s="44"/>
      <c r="S60" s="42"/>
    </row>
    <row r="62" spans="1:19" s="34" customFormat="1" x14ac:dyDescent="0.25">
      <c r="A62" s="34" t="s">
        <v>269</v>
      </c>
      <c r="B62" s="35"/>
      <c r="C62" s="35"/>
      <c r="D62" s="36"/>
      <c r="E62" s="37">
        <f>E10-E56-E60</f>
        <v>3783.3601999999992</v>
      </c>
      <c r="F62" s="37">
        <f t="shared" ref="F62:P62" si="11">F10-F56-F60</f>
        <v>28817.110199999999</v>
      </c>
      <c r="G62" s="37">
        <f t="shared" si="11"/>
        <v>26614.110199999999</v>
      </c>
      <c r="H62" s="37">
        <f t="shared" si="11"/>
        <v>2466.3601999999992</v>
      </c>
      <c r="I62" s="37">
        <f t="shared" si="11"/>
        <v>24731.397296774201</v>
      </c>
      <c r="J62" s="37">
        <f t="shared" si="11"/>
        <v>30639.460200000001</v>
      </c>
      <c r="K62" s="37">
        <f t="shared" si="11"/>
        <v>10611.210200000001</v>
      </c>
      <c r="L62" s="37">
        <f t="shared" si="11"/>
        <v>30313.960200000001</v>
      </c>
      <c r="M62" s="37">
        <f t="shared" si="11"/>
        <v>33315.3727</v>
      </c>
      <c r="N62" s="37">
        <f t="shared" si="11"/>
        <v>13515.035199999998</v>
      </c>
      <c r="O62" s="37">
        <f t="shared" si="11"/>
        <v>35012.610200000003</v>
      </c>
      <c r="P62" s="37">
        <f t="shared" si="11"/>
        <v>34012.610199999996</v>
      </c>
      <c r="Q62" s="38">
        <f>SUM(E62:P62)</f>
        <v>273832.5969967742</v>
      </c>
      <c r="R62" s="39"/>
      <c r="S62" s="37"/>
    </row>
    <row r="64" spans="1:19" s="45" customFormat="1" x14ac:dyDescent="0.25">
      <c r="A64" s="45" t="s">
        <v>270</v>
      </c>
      <c r="B64" s="40" t="s">
        <v>205</v>
      </c>
      <c r="C64" s="40" t="s">
        <v>271</v>
      </c>
      <c r="D64" s="41"/>
      <c r="E64" s="42">
        <v>0</v>
      </c>
      <c r="F64" s="42">
        <v>0</v>
      </c>
      <c r="G64" s="42">
        <v>0</v>
      </c>
      <c r="H64" s="42">
        <f>[1]Assumptions!$I3</f>
        <v>5763.2800000000007</v>
      </c>
      <c r="I64" s="42">
        <f>[1]Assumptions!$I4</f>
        <v>5782.49</v>
      </c>
      <c r="J64" s="42">
        <f>[1]Assumptions!$I5</f>
        <v>5801.76</v>
      </c>
      <c r="K64" s="42">
        <f>[1]Assumptions!$I6</f>
        <v>5821.1</v>
      </c>
      <c r="L64" s="42">
        <f>[1]Assumptions!$I7</f>
        <v>5840.51</v>
      </c>
      <c r="M64" s="42">
        <f>[1]Assumptions!$I8</f>
        <v>5859.9700000000012</v>
      </c>
      <c r="N64" s="42">
        <f>[1]Assumptions!$I9</f>
        <v>5879.51</v>
      </c>
      <c r="O64" s="42">
        <f>[1]Assumptions!$I10</f>
        <v>5899.1100000000006</v>
      </c>
      <c r="P64" s="42">
        <f>[1]Assumptions!$I11</f>
        <v>5918.77</v>
      </c>
      <c r="Q64" s="43">
        <f>SUM(E64:P64)</f>
        <v>52566.5</v>
      </c>
      <c r="R64" s="44"/>
      <c r="S64" s="42"/>
    </row>
    <row r="65" spans="1:19" s="45" customFormat="1" x14ac:dyDescent="0.25">
      <c r="A65" s="45" t="s">
        <v>272</v>
      </c>
      <c r="B65" s="40" t="s">
        <v>205</v>
      </c>
      <c r="C65" s="40" t="s">
        <v>109</v>
      </c>
      <c r="D65" s="41"/>
      <c r="E65" s="42">
        <f>[1]Assumptions!$B$11</f>
        <v>13333.333333333334</v>
      </c>
      <c r="F65" s="42">
        <f>[1]Assumptions!$B$11</f>
        <v>13333.333333333334</v>
      </c>
      <c r="G65" s="42">
        <f>[1]Assumptions!$B$11</f>
        <v>13333.333333333334</v>
      </c>
      <c r="H65" s="42">
        <f>[1]Assumptions!$J3</f>
        <v>13333.33</v>
      </c>
      <c r="I65" s="42">
        <f>[1]Assumptions!$J4</f>
        <v>13314.12</v>
      </c>
      <c r="J65" s="42">
        <f>[1]Assumptions!$J5</f>
        <v>13294.85</v>
      </c>
      <c r="K65" s="42">
        <f>[1]Assumptions!$J6</f>
        <v>13275.51</v>
      </c>
      <c r="L65" s="42">
        <f>[1]Assumptions!$J7</f>
        <v>13256.1</v>
      </c>
      <c r="M65" s="42">
        <f>[1]Assumptions!$J8</f>
        <v>13236.64</v>
      </c>
      <c r="N65" s="42">
        <f>[1]Assumptions!$J9</f>
        <v>13217.1</v>
      </c>
      <c r="O65" s="42">
        <f>[1]Assumptions!$J10</f>
        <v>13197.5</v>
      </c>
      <c r="P65" s="42">
        <f>[1]Assumptions!$J11</f>
        <v>13177.84</v>
      </c>
      <c r="Q65" s="43">
        <f>SUM(E65:P65)</f>
        <v>159302.99</v>
      </c>
      <c r="R65" s="44"/>
      <c r="S65" s="42"/>
    </row>
    <row r="67" spans="1:19" s="34" customFormat="1" x14ac:dyDescent="0.25">
      <c r="A67" s="34" t="s">
        <v>273</v>
      </c>
      <c r="B67" s="35"/>
      <c r="C67" s="35"/>
      <c r="D67" s="36"/>
      <c r="E67" s="37">
        <f>E62-(E64+E65)</f>
        <v>-9549.9731333333348</v>
      </c>
      <c r="F67" s="37">
        <f t="shared" ref="F67:P67" si="12">F62-(F64+F65)</f>
        <v>15483.776866666665</v>
      </c>
      <c r="G67" s="37">
        <f t="shared" si="12"/>
        <v>13280.776866666665</v>
      </c>
      <c r="H67" s="37">
        <f t="shared" si="12"/>
        <v>-16630.249800000001</v>
      </c>
      <c r="I67" s="37">
        <f t="shared" si="12"/>
        <v>5634.7872967742005</v>
      </c>
      <c r="J67" s="37">
        <f t="shared" si="12"/>
        <v>11542.850200000001</v>
      </c>
      <c r="K67" s="37">
        <f t="shared" si="12"/>
        <v>-8485.3997999999992</v>
      </c>
      <c r="L67" s="37">
        <f t="shared" si="12"/>
        <v>11217.350200000001</v>
      </c>
      <c r="M67" s="37">
        <f t="shared" si="12"/>
        <v>14218.762699999999</v>
      </c>
      <c r="N67" s="37">
        <f t="shared" si="12"/>
        <v>-5581.5748000000021</v>
      </c>
      <c r="O67" s="37">
        <f t="shared" si="12"/>
        <v>15916.000200000002</v>
      </c>
      <c r="P67" s="37">
        <f t="shared" si="12"/>
        <v>14916.000199999995</v>
      </c>
      <c r="Q67" s="38">
        <f>SUM(E67:P67)</f>
        <v>61963.106996774186</v>
      </c>
      <c r="R67" s="39"/>
      <c r="S67" s="37"/>
    </row>
    <row r="69" spans="1:19" s="45" customFormat="1" x14ac:dyDescent="0.25">
      <c r="A69" s="45" t="s">
        <v>274</v>
      </c>
      <c r="B69" s="40"/>
      <c r="C69" s="40"/>
      <c r="D69" s="41"/>
      <c r="E69" s="42">
        <f>'[1]Broker''s Comm'!K14</f>
        <v>9137</v>
      </c>
      <c r="F69" s="42">
        <f>'[1]Broker''s Comm'!L14</f>
        <v>0</v>
      </c>
      <c r="G69" s="42">
        <f>'[1]Broker''s Comm'!M14</f>
        <v>0</v>
      </c>
      <c r="H69" s="42">
        <f>'[1]Broker''s Comm'!N14</f>
        <v>15419</v>
      </c>
      <c r="I69" s="42">
        <f>'[1]Broker''s Comm'!O14</f>
        <v>4204.8355000000001</v>
      </c>
      <c r="J69" s="42">
        <f>'[1]Broker''s Comm'!P14</f>
        <v>1773.9150025162505</v>
      </c>
      <c r="K69" s="42">
        <f>'[1]Broker''s Comm'!Q14</f>
        <v>15419</v>
      </c>
      <c r="L69" s="42">
        <f>'[1]Broker''s Comm'!R14</f>
        <v>0</v>
      </c>
      <c r="M69" s="42">
        <f>'[1]Broker''s Comm'!S14</f>
        <v>0</v>
      </c>
      <c r="N69" s="42">
        <f>'[1]Broker''s Comm'!T14</f>
        <v>1773.9150025162505</v>
      </c>
      <c r="O69" s="42">
        <f>'[1]Broker''s Comm'!U14</f>
        <v>4204.8355000000001</v>
      </c>
      <c r="P69" s="42">
        <f>'[1]Broker''s Comm'!V14</f>
        <v>3547.830005032501</v>
      </c>
      <c r="Q69" s="43">
        <f>SUM(E69:P69)</f>
        <v>55480.331010065005</v>
      </c>
      <c r="R69" s="44"/>
      <c r="S69" s="42"/>
    </row>
    <row r="71" spans="1:19" s="45" customFormat="1" x14ac:dyDescent="0.25">
      <c r="A71" s="45" t="s">
        <v>275</v>
      </c>
      <c r="B71" s="40" t="s">
        <v>205</v>
      </c>
      <c r="C71" s="40" t="s">
        <v>132</v>
      </c>
      <c r="D71" s="41"/>
      <c r="E71" s="42">
        <v>0</v>
      </c>
      <c r="F71" s="42">
        <v>0</v>
      </c>
      <c r="G71" s="42">
        <v>0</v>
      </c>
      <c r="H71" s="42">
        <v>48000</v>
      </c>
      <c r="I71" s="42">
        <f>[1]Assumptions!P10+[1]Assumptions!P19+[1]Assumptions!P28</f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3">
        <f>SUM(E71:P71)</f>
        <v>48000</v>
      </c>
      <c r="R71" s="44"/>
      <c r="S71" s="42"/>
    </row>
    <row r="73" spans="1:19" s="45" customFormat="1" x14ac:dyDescent="0.25">
      <c r="A73" s="45" t="s">
        <v>276</v>
      </c>
      <c r="B73" s="40" t="s">
        <v>205</v>
      </c>
      <c r="C73" s="40" t="s">
        <v>277</v>
      </c>
      <c r="D73" s="41"/>
      <c r="E73" s="42">
        <v>0</v>
      </c>
      <c r="F73" s="42">
        <v>0</v>
      </c>
      <c r="G73" s="42">
        <v>0</v>
      </c>
      <c r="H73" s="42">
        <f>[1]Assumptions!P11+[1]Assumptions!P20+[1]Assumptions!P29+[1]Assumptions!P34</f>
        <v>74029</v>
      </c>
      <c r="I73" s="42">
        <f>[1]Assumptions!P12+[1]Assumptions!P21+[1]Assumptions!P30</f>
        <v>39029</v>
      </c>
      <c r="J73" s="42">
        <f>[1]Assumptions!P31</f>
        <v>10681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3">
        <f>SUM(E73:P73)</f>
        <v>123739</v>
      </c>
      <c r="R73" s="44"/>
      <c r="S73" s="42"/>
    </row>
    <row r="75" spans="1:19" s="45" customFormat="1" x14ac:dyDescent="0.25">
      <c r="A75" s="45" t="s">
        <v>278</v>
      </c>
      <c r="B75" s="40"/>
      <c r="C75" s="40"/>
      <c r="D75" s="41"/>
      <c r="E75" s="42">
        <f>[1]Assumptions!$B$5/12</f>
        <v>0</v>
      </c>
      <c r="F75" s="42">
        <f>[1]Assumptions!$B$5/12</f>
        <v>0</v>
      </c>
      <c r="G75" s="42">
        <f>[1]Assumptions!$B$5/12</f>
        <v>0</v>
      </c>
      <c r="H75" s="42">
        <f>[1]Assumptions!$B$5/12</f>
        <v>0</v>
      </c>
      <c r="I75" s="42">
        <f>[1]Assumptions!$B$5/12</f>
        <v>0</v>
      </c>
      <c r="J75" s="42">
        <f>[1]Assumptions!$B$5/12</f>
        <v>0</v>
      </c>
      <c r="K75" s="42">
        <f>[1]Assumptions!$B$5/12</f>
        <v>0</v>
      </c>
      <c r="L75" s="42">
        <f>[1]Assumptions!$B$5/12</f>
        <v>0</v>
      </c>
      <c r="M75" s="42">
        <f>[1]Assumptions!$B$5/12</f>
        <v>0</v>
      </c>
      <c r="N75" s="42">
        <f>[1]Assumptions!$B$5/12</f>
        <v>0</v>
      </c>
      <c r="O75" s="42">
        <f>[1]Assumptions!$B$5/12</f>
        <v>0</v>
      </c>
      <c r="P75" s="42">
        <f>[1]Assumptions!$B$5/12</f>
        <v>0</v>
      </c>
      <c r="Q75" s="43">
        <f>SUM(E75:P75)</f>
        <v>0</v>
      </c>
      <c r="R75" s="44"/>
      <c r="S75" s="42"/>
    </row>
    <row r="76" spans="1:19" s="34" customFormat="1" x14ac:dyDescent="0.25">
      <c r="A76" s="34" t="s">
        <v>279</v>
      </c>
      <c r="B76" s="35"/>
      <c r="C76" s="35"/>
      <c r="D76" s="36"/>
      <c r="E76" s="37">
        <f>E67-(E75+E69+E71+E73)</f>
        <v>-18686.973133333333</v>
      </c>
      <c r="F76" s="37">
        <f t="shared" ref="F76:P76" si="13">F67-(F75+F69+F71+F73)</f>
        <v>15483.776866666665</v>
      </c>
      <c r="G76" s="37">
        <f t="shared" si="13"/>
        <v>13280.776866666665</v>
      </c>
      <c r="H76" s="37">
        <f t="shared" si="13"/>
        <v>-154078.24979999999</v>
      </c>
      <c r="I76" s="37">
        <f t="shared" si="13"/>
        <v>-37599.048203225801</v>
      </c>
      <c r="J76" s="37">
        <f t="shared" si="13"/>
        <v>-912.06480251624998</v>
      </c>
      <c r="K76" s="37">
        <f t="shared" si="13"/>
        <v>-23904.399799999999</v>
      </c>
      <c r="L76" s="37">
        <f t="shared" si="13"/>
        <v>11217.350200000001</v>
      </c>
      <c r="M76" s="37">
        <f t="shared" si="13"/>
        <v>14218.762699999999</v>
      </c>
      <c r="N76" s="37">
        <f t="shared" si="13"/>
        <v>-7355.4898025162529</v>
      </c>
      <c r="O76" s="37">
        <f t="shared" si="13"/>
        <v>11711.164700000001</v>
      </c>
      <c r="P76" s="37">
        <f t="shared" si="13"/>
        <v>11368.170194967493</v>
      </c>
      <c r="Q76" s="38">
        <f>SUM(E76:P76)</f>
        <v>-165256.2240132908</v>
      </c>
      <c r="R76" s="39"/>
      <c r="S76" s="37"/>
    </row>
    <row r="78" spans="1:19" s="45" customFormat="1" x14ac:dyDescent="0.25">
      <c r="A78" s="45" t="s">
        <v>280</v>
      </c>
      <c r="B78" s="40"/>
      <c r="C78" s="40"/>
      <c r="D78" s="41">
        <v>6972.42</v>
      </c>
      <c r="E78" s="42">
        <f>$D78</f>
        <v>6972.42</v>
      </c>
      <c r="F78" s="42">
        <f t="shared" ref="F78:P78" si="14">$D78</f>
        <v>6972.42</v>
      </c>
      <c r="G78" s="42">
        <f t="shared" si="14"/>
        <v>6972.42</v>
      </c>
      <c r="H78" s="42">
        <f t="shared" si="14"/>
        <v>6972.42</v>
      </c>
      <c r="I78" s="42">
        <f t="shared" si="14"/>
        <v>6972.42</v>
      </c>
      <c r="J78" s="42">
        <f t="shared" si="14"/>
        <v>6972.42</v>
      </c>
      <c r="K78" s="42">
        <f t="shared" si="14"/>
        <v>6972.42</v>
      </c>
      <c r="L78" s="42">
        <f t="shared" si="14"/>
        <v>6972.42</v>
      </c>
      <c r="M78" s="42">
        <f t="shared" si="14"/>
        <v>6972.42</v>
      </c>
      <c r="N78" s="42">
        <f t="shared" si="14"/>
        <v>6972.42</v>
      </c>
      <c r="O78" s="42">
        <f t="shared" si="14"/>
        <v>6972.42</v>
      </c>
      <c r="P78" s="42">
        <f t="shared" si="14"/>
        <v>6972.42</v>
      </c>
      <c r="Q78" s="43">
        <f>SUM(E78:P78)</f>
        <v>83669.039999999994</v>
      </c>
      <c r="R78" s="44"/>
      <c r="S78" s="42"/>
    </row>
    <row r="80" spans="1:19" s="34" customFormat="1" x14ac:dyDescent="0.25">
      <c r="A80" s="34" t="s">
        <v>281</v>
      </c>
      <c r="B80" s="35"/>
      <c r="C80" s="35"/>
      <c r="D80" s="36"/>
      <c r="E80" s="37">
        <f>'[1]Op Budget 2015'!P73</f>
        <v>84180.56</v>
      </c>
      <c r="F80" s="37">
        <f>E81</f>
        <v>89347.83</v>
      </c>
      <c r="G80" s="37">
        <f t="shared" ref="G80:P80" si="15">F81</f>
        <v>97998.720000000001</v>
      </c>
      <c r="H80" s="37">
        <f t="shared" si="15"/>
        <v>404307.07686666673</v>
      </c>
      <c r="I80" s="37">
        <f t="shared" si="15"/>
        <v>265420.15706666675</v>
      </c>
      <c r="J80" s="37">
        <f t="shared" si="15"/>
        <v>220848.68886344094</v>
      </c>
      <c r="K80" s="37">
        <f t="shared" si="15"/>
        <v>212964.20406092468</v>
      </c>
      <c r="L80" s="37">
        <f t="shared" si="15"/>
        <v>204251.13426092468</v>
      </c>
      <c r="M80" s="37">
        <f t="shared" si="15"/>
        <v>208496.06446092468</v>
      </c>
      <c r="N80" s="37">
        <f t="shared" si="15"/>
        <v>215742.40716092466</v>
      </c>
      <c r="O80" s="37">
        <f t="shared" si="15"/>
        <v>223578.24735840841</v>
      </c>
      <c r="P80" s="37">
        <f t="shared" si="15"/>
        <v>228316.99205840839</v>
      </c>
      <c r="Q80" s="38"/>
      <c r="R80" s="39"/>
      <c r="S80" s="37"/>
    </row>
    <row r="81" spans="1:19" s="34" customFormat="1" x14ac:dyDescent="0.25">
      <c r="A81" s="34" t="s">
        <v>282</v>
      </c>
      <c r="B81" s="35"/>
      <c r="C81" s="35"/>
      <c r="D81" s="36"/>
      <c r="E81" s="37">
        <v>89347.83</v>
      </c>
      <c r="F81" s="37">
        <v>97998.720000000001</v>
      </c>
      <c r="G81" s="37">
        <f>G12+G76+G80+G34-G78</f>
        <v>404307.07686666673</v>
      </c>
      <c r="H81" s="37">
        <f t="shared" ref="H81:P81" si="16">H76+H80+H34-H78</f>
        <v>265420.15706666675</v>
      </c>
      <c r="I81" s="37">
        <f t="shared" si="16"/>
        <v>220848.68886344094</v>
      </c>
      <c r="J81" s="37">
        <f t="shared" si="16"/>
        <v>212964.20406092468</v>
      </c>
      <c r="K81" s="37">
        <f t="shared" si="16"/>
        <v>204251.13426092468</v>
      </c>
      <c r="L81" s="37">
        <f t="shared" si="16"/>
        <v>208496.06446092468</v>
      </c>
      <c r="M81" s="37">
        <f t="shared" si="16"/>
        <v>215742.40716092466</v>
      </c>
      <c r="N81" s="37">
        <f t="shared" si="16"/>
        <v>223578.24735840841</v>
      </c>
      <c r="O81" s="37">
        <f t="shared" si="16"/>
        <v>228316.99205840839</v>
      </c>
      <c r="P81" s="37">
        <f t="shared" si="16"/>
        <v>232712.74225337588</v>
      </c>
      <c r="Q81" s="38"/>
      <c r="R81" s="39"/>
      <c r="S81" s="37"/>
    </row>
    <row r="83" spans="1:19" ht="15.75" x14ac:dyDescent="0.25">
      <c r="E83" s="51" t="s">
        <v>283</v>
      </c>
      <c r="O83" s="52" t="s">
        <v>284</v>
      </c>
      <c r="P83" s="15">
        <v>90000</v>
      </c>
    </row>
    <row r="84" spans="1:19" x14ac:dyDescent="0.25">
      <c r="P84" s="53"/>
    </row>
    <row r="85" spans="1:19" x14ac:dyDescent="0.25">
      <c r="O85" s="52" t="s">
        <v>285</v>
      </c>
      <c r="P85" s="15">
        <f>P81-P83</f>
        <v>142712.74225337588</v>
      </c>
    </row>
  </sheetData>
  <pageMargins left="0.7" right="0.7" top="0.75" bottom="0.75" header="0.3" footer="0.3"/>
  <pageSetup paperSize="5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E220"/>
  <sheetViews>
    <sheetView tabSelected="1" zoomScaleNormal="100" zoomScaleSheetLayoutView="70" workbookViewId="0">
      <pane xSplit="2" ySplit="5" topLeftCell="C186" activePane="bottomRight" state="frozen"/>
      <selection pane="topRight" activeCell="C1" sqref="C1"/>
      <selection pane="bottomLeft" activeCell="A6" sqref="A6"/>
      <selection pane="bottomRight" activeCell="B196" sqref="B196"/>
    </sheetView>
  </sheetViews>
  <sheetFormatPr defaultRowHeight="15" outlineLevelRow="1" outlineLevelCol="1" x14ac:dyDescent="0.25"/>
  <cols>
    <col min="1" max="1" width="11.42578125" customWidth="1"/>
    <col min="2" max="2" width="37.140625" customWidth="1"/>
    <col min="3" max="3" width="17.140625" style="107" customWidth="1"/>
    <col min="4" max="15" width="13.7109375" style="106" customWidth="1" outlineLevel="1"/>
    <col min="16" max="16" width="17.140625" style="107" customWidth="1"/>
    <col min="17" max="17" width="17.140625" style="107" customWidth="1" collapsed="1"/>
    <col min="18" max="18" width="11.7109375" style="151" customWidth="1"/>
    <col min="19" max="19" width="63.7109375" customWidth="1"/>
    <col min="20" max="20" width="10.5703125" bestFit="1" customWidth="1"/>
    <col min="21" max="21" width="20.42578125" bestFit="1" customWidth="1"/>
    <col min="22" max="22" width="10.5703125" bestFit="1" customWidth="1"/>
    <col min="23" max="23" width="21.140625" bestFit="1" customWidth="1"/>
    <col min="24" max="28" width="10.5703125" bestFit="1" customWidth="1"/>
  </cols>
  <sheetData>
    <row r="1" spans="1:19" ht="19.5" x14ac:dyDescent="0.25">
      <c r="A1" s="174" t="s">
        <v>487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45"/>
    </row>
    <row r="2" spans="1:19" ht="15.75" x14ac:dyDescent="0.25">
      <c r="A2" s="175" t="s">
        <v>376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46"/>
    </row>
    <row r="3" spans="1:19" x14ac:dyDescent="0.25">
      <c r="A3" s="92"/>
      <c r="B3" s="92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150"/>
    </row>
    <row r="4" spans="1:19" x14ac:dyDescent="0.25">
      <c r="A4" s="92"/>
      <c r="B4" s="92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150"/>
    </row>
    <row r="5" spans="1:19" s="11" customFormat="1" ht="21.75" thickBot="1" x14ac:dyDescent="0.3">
      <c r="A5" s="10"/>
      <c r="B5" s="10"/>
      <c r="C5" s="98" t="s">
        <v>286</v>
      </c>
      <c r="D5" s="110">
        <v>42736</v>
      </c>
      <c r="E5" s="110">
        <v>42767</v>
      </c>
      <c r="F5" s="110">
        <v>42795</v>
      </c>
      <c r="G5" s="110">
        <v>42826</v>
      </c>
      <c r="H5" s="110">
        <v>42856</v>
      </c>
      <c r="I5" s="110">
        <v>42887</v>
      </c>
      <c r="J5" s="110">
        <v>42917</v>
      </c>
      <c r="K5" s="110">
        <v>42948</v>
      </c>
      <c r="L5" s="110">
        <v>42979</v>
      </c>
      <c r="M5" s="110">
        <v>43009</v>
      </c>
      <c r="N5" s="110">
        <v>43040</v>
      </c>
      <c r="O5" s="110">
        <v>43070</v>
      </c>
      <c r="P5" s="98" t="s">
        <v>406</v>
      </c>
      <c r="Q5" s="98" t="s">
        <v>0</v>
      </c>
      <c r="R5" s="147" t="s">
        <v>481</v>
      </c>
      <c r="S5" s="98" t="s">
        <v>203</v>
      </c>
    </row>
    <row r="6" spans="1:19" x14ac:dyDescent="0.25">
      <c r="A6" s="1"/>
      <c r="B6" s="5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48"/>
    </row>
    <row r="7" spans="1:19" x14ac:dyDescent="0.25">
      <c r="A7" s="1" t="s">
        <v>1</v>
      </c>
      <c r="B7" s="5" t="s">
        <v>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148"/>
    </row>
    <row r="8" spans="1:19" x14ac:dyDescent="0.25">
      <c r="A8" s="1"/>
      <c r="B8" s="5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148"/>
    </row>
    <row r="9" spans="1:19" x14ac:dyDescent="0.25">
      <c r="A9" s="1" t="s">
        <v>3</v>
      </c>
      <c r="B9" s="5" t="s">
        <v>4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148"/>
    </row>
    <row r="10" spans="1:19" x14ac:dyDescent="0.25">
      <c r="A10" s="1" t="s">
        <v>5</v>
      </c>
      <c r="B10" s="5" t="s">
        <v>6</v>
      </c>
      <c r="C10" s="100">
        <f t="shared" ref="C10:P10" si="0">SUM(C11:C19)</f>
        <v>465310</v>
      </c>
      <c r="D10" s="100">
        <f t="shared" si="0"/>
        <v>38864.07</v>
      </c>
      <c r="E10" s="100">
        <f t="shared" si="0"/>
        <v>39507.11</v>
      </c>
      <c r="F10" s="100">
        <f t="shared" si="0"/>
        <v>39640.959999999999</v>
      </c>
      <c r="G10" s="100">
        <f t="shared" si="0"/>
        <v>39640.959999999999</v>
      </c>
      <c r="H10" s="100">
        <f t="shared" si="0"/>
        <v>39749.11</v>
      </c>
      <c r="I10" s="100">
        <f t="shared" si="0"/>
        <v>39749.11</v>
      </c>
      <c r="J10" s="100">
        <f t="shared" si="0"/>
        <v>39749.11</v>
      </c>
      <c r="K10" s="100">
        <f t="shared" si="0"/>
        <v>39749.11</v>
      </c>
      <c r="L10" s="100">
        <f t="shared" si="0"/>
        <v>39796.01</v>
      </c>
      <c r="M10" s="100">
        <f t="shared" si="0"/>
        <v>39896.79</v>
      </c>
      <c r="N10" s="100">
        <f t="shared" si="0"/>
        <v>39896.79</v>
      </c>
      <c r="O10" s="100">
        <f t="shared" si="0"/>
        <v>39896.79</v>
      </c>
      <c r="P10" s="100">
        <f t="shared" si="0"/>
        <v>476135.92000000004</v>
      </c>
      <c r="Q10" s="100">
        <f>IF(C10&lt;&gt;"",P10-C10,"")</f>
        <v>10825.920000000042</v>
      </c>
      <c r="R10" s="149">
        <f>IF(C10&lt;&gt;0,Q10/C10,"")</f>
        <v>2.3266037695299998E-2</v>
      </c>
    </row>
    <row r="11" spans="1:19" outlineLevel="1" x14ac:dyDescent="0.25">
      <c r="A11" s="1"/>
      <c r="B11" s="31" t="s">
        <v>496</v>
      </c>
      <c r="C11" s="94">
        <v>38458</v>
      </c>
      <c r="D11" s="140">
        <f>VLOOKUP($B11,'Min Rent 2017'!$A$5:$P$13,5,FALSE)</f>
        <v>3220.55</v>
      </c>
      <c r="E11" s="140">
        <f>VLOOKUP($B11,'Min Rent 2017'!$A$5:$P$13,6,FALSE)</f>
        <v>3220.55</v>
      </c>
      <c r="F11" s="167">
        <f>VLOOKUP($B11,'Min Rent 2017'!$A$5:$P$13,7,FALSE)</f>
        <v>3317.17</v>
      </c>
      <c r="G11" s="140">
        <f>VLOOKUP($B11,'Min Rent 2017'!$A$5:$P$13,8,FALSE)</f>
        <v>3317.17</v>
      </c>
      <c r="H11" s="140">
        <f>VLOOKUP($B11,'Min Rent 2017'!$A$5:$P$13,9,FALSE)</f>
        <v>3317.17</v>
      </c>
      <c r="I11" s="140">
        <f>VLOOKUP($B11,'Min Rent 2017'!$A$5:$P$13,10,FALSE)</f>
        <v>3317.17</v>
      </c>
      <c r="J11" s="140">
        <f>VLOOKUP($B11,'Min Rent 2017'!$A$5:$P$13,11,FALSE)</f>
        <v>3317.17</v>
      </c>
      <c r="K11" s="140">
        <f>VLOOKUP($B11,'Min Rent 2017'!$A$5:$P$13,12,FALSE)</f>
        <v>3317.17</v>
      </c>
      <c r="L11" s="140">
        <f>VLOOKUP($B11,'Min Rent 2017'!$A$5:$P$13,13,FALSE)</f>
        <v>3317.17</v>
      </c>
      <c r="M11" s="140">
        <f>VLOOKUP($B11,'Min Rent 2017'!$A$5:$P$13,14,FALSE)</f>
        <v>3317.17</v>
      </c>
      <c r="N11" s="140">
        <f>VLOOKUP($B11,'Min Rent 2017'!$A$5:$P$13,15,FALSE)</f>
        <v>3317.17</v>
      </c>
      <c r="O11" s="94">
        <f>VLOOKUP($B11,'Min Rent 2017'!$A$5:$P$13,16,FALSE)</f>
        <v>3317.17</v>
      </c>
      <c r="P11" s="94">
        <f t="shared" ref="P11:P19" si="1">SUM(D11:O11)</f>
        <v>39612.799999999988</v>
      </c>
      <c r="Q11" s="94">
        <f t="shared" ref="Q11:Q65" si="2">IF(C11&lt;&gt;"",P11-C11,"")</f>
        <v>1154.7999999999884</v>
      </c>
      <c r="R11" s="149">
        <f t="shared" ref="R11:R65" si="3">IF(C11&lt;&gt;0,Q11/C11,"")</f>
        <v>3.0027562535752988E-2</v>
      </c>
    </row>
    <row r="12" spans="1:19" outlineLevel="1" x14ac:dyDescent="0.25">
      <c r="A12" s="1"/>
      <c r="B12" s="31" t="s">
        <v>497</v>
      </c>
      <c r="C12" s="94">
        <v>57000</v>
      </c>
      <c r="D12" s="140">
        <f>VLOOKUP($B12,'Min Rent 2017'!$A$5:$P$13,5,FALSE)</f>
        <v>4000</v>
      </c>
      <c r="E12" s="167">
        <f>VLOOKUP($B12,'Min Rent 2017'!$A$5:$P$13,6,FALSE)</f>
        <v>4643.04</v>
      </c>
      <c r="F12" s="140">
        <f>VLOOKUP($B12,'Min Rent 2017'!$A$5:$P$13,7,FALSE)</f>
        <v>4643.04</v>
      </c>
      <c r="G12" s="140">
        <f>VLOOKUP($B12,'Min Rent 2017'!$A$5:$P$13,8,FALSE)</f>
        <v>4643.04</v>
      </c>
      <c r="H12" s="140">
        <f>VLOOKUP($B12,'Min Rent 2017'!$A$5:$P$13,9,FALSE)</f>
        <v>4643.04</v>
      </c>
      <c r="I12" s="140">
        <f>VLOOKUP($B12,'Min Rent 2017'!$A$5:$P$13,10,FALSE)</f>
        <v>4643.04</v>
      </c>
      <c r="J12" s="140">
        <f>VLOOKUP($B12,'Min Rent 2017'!$A$5:$P$13,11,FALSE)</f>
        <v>4643.04</v>
      </c>
      <c r="K12" s="140">
        <f>VLOOKUP($B12,'Min Rent 2017'!$A$5:$P$13,12,FALSE)</f>
        <v>4643.04</v>
      </c>
      <c r="L12" s="140">
        <f>VLOOKUP($B12,'Min Rent 2017'!$A$5:$P$13,13,FALSE)</f>
        <v>4643.04</v>
      </c>
      <c r="M12" s="140">
        <f>VLOOKUP($B12,'Min Rent 2017'!$A$5:$P$13,14,FALSE)</f>
        <v>4643.04</v>
      </c>
      <c r="N12" s="140">
        <f>VLOOKUP($B12,'Min Rent 2017'!$A$5:$P$13,15,FALSE)</f>
        <v>4643.04</v>
      </c>
      <c r="O12" s="94">
        <f>VLOOKUP($B12,'Min Rent 2017'!$A$5:$P$13,16,FALSE)</f>
        <v>4643.04</v>
      </c>
      <c r="P12" s="94">
        <f t="shared" si="1"/>
        <v>55073.44000000001</v>
      </c>
      <c r="Q12" s="94">
        <f t="shared" si="2"/>
        <v>-1926.5599999999904</v>
      </c>
      <c r="R12" s="149">
        <f t="shared" si="3"/>
        <v>-3.3799298245613868E-2</v>
      </c>
    </row>
    <row r="13" spans="1:19" outlineLevel="1" x14ac:dyDescent="0.25">
      <c r="A13" s="1"/>
      <c r="B13" s="31" t="s">
        <v>498</v>
      </c>
      <c r="C13" s="94">
        <v>39721</v>
      </c>
      <c r="D13" s="140">
        <f>VLOOKUP($B13,'Min Rent 2017'!$A$5:$P$13,5,FALSE)</f>
        <v>3359.2000000000003</v>
      </c>
      <c r="E13" s="140">
        <f>VLOOKUP($B13,'Min Rent 2017'!$A$5:$P$13,6,FALSE)</f>
        <v>3359.2000000000003</v>
      </c>
      <c r="F13" s="140">
        <f>VLOOKUP($B13,'Min Rent 2017'!$A$5:$P$13,7,FALSE)</f>
        <v>3359.2000000000003</v>
      </c>
      <c r="G13" s="140">
        <f>VLOOKUP($B13,'Min Rent 2017'!$A$5:$P$13,8,FALSE)</f>
        <v>3359.2000000000003</v>
      </c>
      <c r="H13" s="140">
        <f>VLOOKUP($B13,'Min Rent 2017'!$A$5:$P$13,9,FALSE)</f>
        <v>3359.2000000000003</v>
      </c>
      <c r="I13" s="140">
        <f>VLOOKUP($B13,'Min Rent 2017'!$A$5:$P$13,10,FALSE)</f>
        <v>3359.2000000000003</v>
      </c>
      <c r="J13" s="140">
        <f>VLOOKUP($B13,'Min Rent 2017'!$A$5:$P$13,11,FALSE)</f>
        <v>3359.2000000000003</v>
      </c>
      <c r="K13" s="140">
        <f>VLOOKUP($B13,'Min Rent 2017'!$A$5:$P$13,12,FALSE)</f>
        <v>3359.2000000000003</v>
      </c>
      <c r="L13" s="140">
        <f>VLOOKUP($B13,'Min Rent 2017'!$A$5:$P$13,13,FALSE)</f>
        <v>3359.2000000000003</v>
      </c>
      <c r="M13" s="167">
        <f>VLOOKUP($B13,'Min Rent 2017'!$A$5:$P$13,14,FALSE)</f>
        <v>3459.98</v>
      </c>
      <c r="N13" s="140">
        <f>VLOOKUP($B13,'Min Rent 2017'!$A$5:$P$13,15,FALSE)</f>
        <v>3459.98</v>
      </c>
      <c r="O13" s="140">
        <f>VLOOKUP($B13,'Min Rent 2017'!$A$5:$P$13,16,FALSE)</f>
        <v>3459.98</v>
      </c>
      <c r="P13" s="94">
        <f t="shared" si="1"/>
        <v>40612.740000000013</v>
      </c>
      <c r="Q13" s="94">
        <f t="shared" si="2"/>
        <v>891.74000000001251</v>
      </c>
      <c r="R13" s="149">
        <f t="shared" si="3"/>
        <v>2.2450089373379636E-2</v>
      </c>
    </row>
    <row r="14" spans="1:19" outlineLevel="1" x14ac:dyDescent="0.25">
      <c r="A14" s="169"/>
      <c r="B14" s="31" t="s">
        <v>499</v>
      </c>
      <c r="C14" s="94">
        <v>42840</v>
      </c>
      <c r="D14" s="140">
        <f>VLOOKUP($B14,'Min Rent 2017'!$A$5:$P$13,5,FALSE)</f>
        <v>3605</v>
      </c>
      <c r="E14" s="140">
        <f>VLOOKUP($B14,'Min Rent 2017'!$A$5:$P$13,6,FALSE)</f>
        <v>3605</v>
      </c>
      <c r="F14" s="140">
        <f>VLOOKUP($B14,'Min Rent 2017'!$A$5:$P$13,7,FALSE)</f>
        <v>3605</v>
      </c>
      <c r="G14" s="140">
        <f>VLOOKUP($B14,'Min Rent 2017'!$A$5:$P$13,8,FALSE)</f>
        <v>3605</v>
      </c>
      <c r="H14" s="167">
        <f>VLOOKUP($B14,'Min Rent 2017'!$A$5:$P$13,9,FALSE)</f>
        <v>3713.15</v>
      </c>
      <c r="I14" s="140">
        <f>VLOOKUP($B14,'Min Rent 2017'!$A$5:$P$13,10,FALSE)</f>
        <v>3713.15</v>
      </c>
      <c r="J14" s="140">
        <f>VLOOKUP($B14,'Min Rent 2017'!$A$5:$P$13,11,FALSE)</f>
        <v>3713.15</v>
      </c>
      <c r="K14" s="140">
        <f>VLOOKUP($B14,'Min Rent 2017'!$A$5:$P$13,12,FALSE)</f>
        <v>3713.15</v>
      </c>
      <c r="L14" s="140">
        <f>VLOOKUP($B14,'Min Rent 2017'!$A$5:$P$13,13,FALSE)</f>
        <v>3713.15</v>
      </c>
      <c r="M14" s="140">
        <f>VLOOKUP($B14,'Min Rent 2017'!$A$5:$P$13,14,FALSE)</f>
        <v>3713.15</v>
      </c>
      <c r="N14" s="140">
        <f>VLOOKUP($B14,'Min Rent 2017'!$A$5:$P$13,15,FALSE)</f>
        <v>3713.15</v>
      </c>
      <c r="O14" s="140">
        <f>VLOOKUP($B14,'Min Rent 2017'!$A$5:$P$13,16,FALSE)</f>
        <v>3713.15</v>
      </c>
      <c r="P14" s="94">
        <f t="shared" ref="P14" si="4">SUM(D14:O14)</f>
        <v>44125.200000000012</v>
      </c>
      <c r="Q14" s="94">
        <f t="shared" si="2"/>
        <v>1285.2000000000116</v>
      </c>
      <c r="R14" s="149">
        <f t="shared" si="3"/>
        <v>3.0000000000000273E-2</v>
      </c>
    </row>
    <row r="15" spans="1:19" outlineLevel="1" x14ac:dyDescent="0.25">
      <c r="A15" s="1"/>
      <c r="B15" s="31" t="s">
        <v>500</v>
      </c>
      <c r="C15" s="94">
        <v>14822</v>
      </c>
      <c r="D15" s="140">
        <f>VLOOKUP($B15,'Min Rent 2017'!$A$5:$P$13,5,FALSE)</f>
        <v>1241.1500000000001</v>
      </c>
      <c r="E15" s="140">
        <f>VLOOKUP($B15,'Min Rent 2017'!$A$5:$P$13,6,FALSE)</f>
        <v>1241.1500000000001</v>
      </c>
      <c r="F15" s="140">
        <f>VLOOKUP($B15,'Min Rent 2017'!$A$5:$P$13,7,FALSE)</f>
        <v>1278.3800000000001</v>
      </c>
      <c r="G15" s="140">
        <f>VLOOKUP($B15,'Min Rent 2017'!$A$5:$P$13,8,FALSE)</f>
        <v>1278.3800000000001</v>
      </c>
      <c r="H15" s="140">
        <f>VLOOKUP($B15,'Min Rent 2017'!$A$5:$P$13,9,FALSE)</f>
        <v>1278.3800000000001</v>
      </c>
      <c r="I15" s="140">
        <f>VLOOKUP($B15,'Min Rent 2017'!$A$5:$P$13,10,FALSE)</f>
        <v>1278.3800000000001</v>
      </c>
      <c r="J15" s="140">
        <f>VLOOKUP($B15,'Min Rent 2017'!$A$5:$P$13,11,FALSE)</f>
        <v>1278.3800000000001</v>
      </c>
      <c r="K15" s="140">
        <f>VLOOKUP($B15,'Min Rent 2017'!$A$5:$P$13,12,FALSE)</f>
        <v>1278.3800000000001</v>
      </c>
      <c r="L15" s="140">
        <f>VLOOKUP($B15,'Min Rent 2017'!$A$5:$P$13,13,FALSE)</f>
        <v>1278.3800000000001</v>
      </c>
      <c r="M15" s="140">
        <f>VLOOKUP($B15,'Min Rent 2017'!$A$5:$P$13,14,FALSE)</f>
        <v>1278.3800000000001</v>
      </c>
      <c r="N15" s="140">
        <f>VLOOKUP($B15,'Min Rent 2017'!$A$5:$P$13,15,FALSE)</f>
        <v>1278.3800000000001</v>
      </c>
      <c r="O15" s="140">
        <f>VLOOKUP($B15,'Min Rent 2017'!$A$5:$P$13,16,FALSE)</f>
        <v>1278.3800000000001</v>
      </c>
      <c r="P15" s="94">
        <f t="shared" si="1"/>
        <v>15266.100000000006</v>
      </c>
      <c r="Q15" s="94">
        <f t="shared" si="2"/>
        <v>444.10000000000582</v>
      </c>
      <c r="R15" s="149">
        <f t="shared" si="3"/>
        <v>2.9962218324113197E-2</v>
      </c>
    </row>
    <row r="16" spans="1:19" outlineLevel="1" x14ac:dyDescent="0.25">
      <c r="A16" s="1"/>
      <c r="B16" s="31" t="s">
        <v>501</v>
      </c>
      <c r="C16" s="94">
        <v>0</v>
      </c>
      <c r="D16" s="140">
        <f>VLOOKUP($B16,'Min Rent 2017'!$A$5:$P$13,5,FALSE)</f>
        <v>1876</v>
      </c>
      <c r="E16" s="140">
        <f>VLOOKUP($B16,'Min Rent 2017'!$A$5:$P$13,6,FALSE)</f>
        <v>1876</v>
      </c>
      <c r="F16" s="140">
        <f>VLOOKUP($B16,'Min Rent 2017'!$A$5:$P$13,7,FALSE)</f>
        <v>1876</v>
      </c>
      <c r="G16" s="140">
        <f>VLOOKUP($B16,'Min Rent 2017'!$A$5:$P$13,8,FALSE)</f>
        <v>1876</v>
      </c>
      <c r="H16" s="140">
        <f>VLOOKUP($B16,'Min Rent 2017'!$A$5:$P$13,9,FALSE)</f>
        <v>1876</v>
      </c>
      <c r="I16" s="140">
        <f>VLOOKUP($B16,'Min Rent 2017'!$A$5:$P$13,10,FALSE)</f>
        <v>1876</v>
      </c>
      <c r="J16" s="140">
        <f>VLOOKUP($B16,'Min Rent 2017'!$A$5:$P$13,11,FALSE)</f>
        <v>1876</v>
      </c>
      <c r="K16" s="140">
        <f>VLOOKUP($B16,'Min Rent 2017'!$A$5:$P$13,12,FALSE)</f>
        <v>1876</v>
      </c>
      <c r="L16" s="167">
        <f>VLOOKUP($B16,'Min Rent 2017'!$A$5:$P$13,13,FALSE)</f>
        <v>1922.9</v>
      </c>
      <c r="M16" s="140">
        <f>VLOOKUP($B16,'Min Rent 2017'!$A$5:$P$13,14,FALSE)</f>
        <v>1922.9</v>
      </c>
      <c r="N16" s="140">
        <f>VLOOKUP($B16,'Min Rent 2017'!$A$5:$P$13,15,FALSE)</f>
        <v>1922.9</v>
      </c>
      <c r="O16" s="140">
        <f>VLOOKUP($B16,'Min Rent 2017'!$A$5:$P$13,16,FALSE)</f>
        <v>1922.9</v>
      </c>
      <c r="P16" s="94">
        <f t="shared" si="1"/>
        <v>22699.600000000006</v>
      </c>
      <c r="Q16" s="94">
        <f t="shared" si="2"/>
        <v>22699.600000000006</v>
      </c>
      <c r="R16" s="149" t="str">
        <f t="shared" si="3"/>
        <v/>
      </c>
    </row>
    <row r="17" spans="1:19" outlineLevel="1" x14ac:dyDescent="0.25">
      <c r="A17" s="7"/>
      <c r="B17" s="31" t="s">
        <v>502</v>
      </c>
      <c r="C17" s="94">
        <v>168636</v>
      </c>
      <c r="D17" s="167">
        <f>VLOOKUP($B17,'Min Rent 2017'!$A$5:$P$13,5,FALSE)</f>
        <v>12867.81</v>
      </c>
      <c r="E17" s="140">
        <f>VLOOKUP($B17,'Min Rent 2017'!$A$5:$P$13,6,FALSE)</f>
        <v>12867.81</v>
      </c>
      <c r="F17" s="140">
        <f>VLOOKUP($B17,'Min Rent 2017'!$A$5:$P$13,7,FALSE)</f>
        <v>12867.81</v>
      </c>
      <c r="G17" s="140">
        <f>VLOOKUP($B17,'Min Rent 2017'!$A$5:$P$13,8,FALSE)</f>
        <v>12867.81</v>
      </c>
      <c r="H17" s="140">
        <f>VLOOKUP($B17,'Min Rent 2017'!$A$5:$P$13,9,FALSE)</f>
        <v>12867.81</v>
      </c>
      <c r="I17" s="140">
        <f>VLOOKUP($B17,'Min Rent 2017'!$A$5:$P$13,10,FALSE)</f>
        <v>12867.81</v>
      </c>
      <c r="J17" s="140">
        <f>VLOOKUP($B17,'Min Rent 2017'!$A$5:$P$13,11,FALSE)</f>
        <v>12867.81</v>
      </c>
      <c r="K17" s="140">
        <f>VLOOKUP($B17,'Min Rent 2017'!$A$5:$P$13,12,FALSE)</f>
        <v>12867.81</v>
      </c>
      <c r="L17" s="140">
        <f>VLOOKUP($B17,'Min Rent 2017'!$A$5:$P$13,13,FALSE)</f>
        <v>12867.81</v>
      </c>
      <c r="M17" s="140">
        <f>VLOOKUP($B17,'Min Rent 2017'!$A$5:$P$13,14,FALSE)</f>
        <v>12867.81</v>
      </c>
      <c r="N17" s="140">
        <f>VLOOKUP($B17,'Min Rent 2017'!$A$5:$P$13,15,FALSE)</f>
        <v>12867.81</v>
      </c>
      <c r="O17" s="140">
        <f>VLOOKUP($B17,'Min Rent 2017'!$A$5:$P$13,16,FALSE)</f>
        <v>12867.81</v>
      </c>
      <c r="P17" s="94">
        <f t="shared" si="1"/>
        <v>154413.72</v>
      </c>
      <c r="Q17" s="94">
        <f t="shared" si="2"/>
        <v>-14222.279999999999</v>
      </c>
      <c r="R17" s="149">
        <f t="shared" si="3"/>
        <v>-8.433715220949263E-2</v>
      </c>
      <c r="S17" t="s">
        <v>506</v>
      </c>
    </row>
    <row r="18" spans="1:19" outlineLevel="1" x14ac:dyDescent="0.25">
      <c r="A18" s="7"/>
      <c r="B18" s="31" t="s">
        <v>503</v>
      </c>
      <c r="C18" s="94">
        <v>53405</v>
      </c>
      <c r="D18" s="140">
        <f>VLOOKUP($B18,'Min Rent 2017'!$A$5:$P$13,5,FALSE)</f>
        <v>4464.46</v>
      </c>
      <c r="E18" s="140">
        <f>VLOOKUP($B18,'Min Rent 2017'!$A$5:$P$13,6,FALSE)</f>
        <v>4464.46</v>
      </c>
      <c r="F18" s="140">
        <f>VLOOKUP($B18,'Min Rent 2017'!$A$5:$P$13,7,FALSE)</f>
        <v>4464.46</v>
      </c>
      <c r="G18" s="140">
        <f>VLOOKUP($B18,'Min Rent 2017'!$A$5:$P$13,8,FALSE)</f>
        <v>4464.46</v>
      </c>
      <c r="H18" s="140">
        <f>VLOOKUP($B18,'Min Rent 2017'!$A$5:$P$13,9,FALSE)</f>
        <v>4464.46</v>
      </c>
      <c r="I18" s="140">
        <f>VLOOKUP($B18,'Min Rent 2017'!$A$5:$P$13,10,FALSE)</f>
        <v>4464.46</v>
      </c>
      <c r="J18" s="140">
        <f>VLOOKUP($B18,'Min Rent 2017'!$A$5:$P$13,11,FALSE)</f>
        <v>4464.46</v>
      </c>
      <c r="K18" s="140">
        <f>VLOOKUP($B18,'Min Rent 2017'!$A$5:$P$13,12,FALSE)</f>
        <v>4464.46</v>
      </c>
      <c r="L18" s="140">
        <f>VLOOKUP($B18,'Min Rent 2017'!$A$5:$P$13,13,FALSE)</f>
        <v>4464.46</v>
      </c>
      <c r="M18" s="140">
        <f>VLOOKUP($B18,'Min Rent 2017'!$A$5:$P$13,14,FALSE)</f>
        <v>4464.46</v>
      </c>
      <c r="N18" s="140">
        <f>VLOOKUP($B18,'Min Rent 2017'!$A$5:$P$13,15,FALSE)</f>
        <v>4464.46</v>
      </c>
      <c r="O18" s="140">
        <f>VLOOKUP($B18,'Min Rent 2017'!$A$5:$P$13,16,FALSE)</f>
        <v>4464.46</v>
      </c>
      <c r="P18" s="94">
        <f t="shared" si="1"/>
        <v>53573.52</v>
      </c>
      <c r="Q18" s="94">
        <f t="shared" si="2"/>
        <v>168.5199999999968</v>
      </c>
      <c r="R18" s="149">
        <f t="shared" si="3"/>
        <v>3.1555097837280555E-3</v>
      </c>
    </row>
    <row r="19" spans="1:19" outlineLevel="1" x14ac:dyDescent="0.25">
      <c r="A19" s="7"/>
      <c r="B19" s="31" t="s">
        <v>504</v>
      </c>
      <c r="C19" s="94">
        <v>50428</v>
      </c>
      <c r="D19" s="140">
        <f>VLOOKUP($B19,'Min Rent 2017'!$A$5:$P$13,5,FALSE)</f>
        <v>4229.8999999999996</v>
      </c>
      <c r="E19" s="140">
        <f>VLOOKUP($B19,'Min Rent 2017'!$A$5:$P$13,6,FALSE)</f>
        <v>4229.8999999999996</v>
      </c>
      <c r="F19" s="140">
        <f>VLOOKUP($B19,'Min Rent 2017'!$A$5:$P$13,7,FALSE)</f>
        <v>4229.8999999999996</v>
      </c>
      <c r="G19" s="140">
        <f>VLOOKUP($B19,'Min Rent 2017'!$A$5:$P$13,8,FALSE)</f>
        <v>4229.8999999999996</v>
      </c>
      <c r="H19" s="140">
        <f>VLOOKUP($B19,'Min Rent 2017'!$A$5:$P$13,9,FALSE)</f>
        <v>4229.8999999999996</v>
      </c>
      <c r="I19" s="140">
        <f>VLOOKUP($B19,'Min Rent 2017'!$A$5:$P$13,10,FALSE)</f>
        <v>4229.8999999999996</v>
      </c>
      <c r="J19" s="140">
        <f>VLOOKUP($B19,'Min Rent 2017'!$A$5:$P$13,11,FALSE)</f>
        <v>4229.8999999999996</v>
      </c>
      <c r="K19" s="140">
        <f>VLOOKUP($B19,'Min Rent 2017'!$A$5:$P$13,12,FALSE)</f>
        <v>4229.8999999999996</v>
      </c>
      <c r="L19" s="140">
        <f>VLOOKUP($B19,'Min Rent 2017'!$A$5:$P$13,13,FALSE)</f>
        <v>4229.8999999999996</v>
      </c>
      <c r="M19" s="140">
        <f>VLOOKUP($B19,'Min Rent 2017'!$A$5:$P$13,14,FALSE)</f>
        <v>4229.8999999999996</v>
      </c>
      <c r="N19" s="140">
        <f>VLOOKUP($B19,'Min Rent 2017'!$A$5:$P$13,15,FALSE)</f>
        <v>4229.8999999999996</v>
      </c>
      <c r="O19" s="94">
        <f>VLOOKUP($B19,'Min Rent 2017'!$A$5:$P$13,16,FALSE)</f>
        <v>4229.8999999999996</v>
      </c>
      <c r="P19" s="94">
        <f t="shared" si="1"/>
        <v>50758.80000000001</v>
      </c>
      <c r="Q19" s="94">
        <f t="shared" si="2"/>
        <v>330.80000000001019</v>
      </c>
      <c r="R19" s="149">
        <f t="shared" si="3"/>
        <v>6.5598477036569007E-3</v>
      </c>
    </row>
    <row r="20" spans="1:19" x14ac:dyDescent="0.25">
      <c r="A20" s="1" t="s">
        <v>7</v>
      </c>
      <c r="B20" s="5" t="s">
        <v>8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>
        <v>0</v>
      </c>
      <c r="Q20" s="94" t="str">
        <f t="shared" si="2"/>
        <v/>
      </c>
      <c r="R20" s="149" t="str">
        <f t="shared" si="3"/>
        <v/>
      </c>
    </row>
    <row r="21" spans="1:19" ht="15.75" thickBot="1" x14ac:dyDescent="0.3">
      <c r="A21" s="1"/>
      <c r="B21" s="5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 t="str">
        <f t="shared" si="2"/>
        <v/>
      </c>
      <c r="R21" s="149" t="str">
        <f t="shared" si="3"/>
        <v/>
      </c>
    </row>
    <row r="22" spans="1:19" s="87" customFormat="1" x14ac:dyDescent="0.25">
      <c r="A22" s="6" t="s">
        <v>9</v>
      </c>
      <c r="B22" s="3" t="s">
        <v>10</v>
      </c>
      <c r="C22" s="96">
        <f t="shared" ref="C22:Q22" si="5">SUM(C11:C19)</f>
        <v>465310</v>
      </c>
      <c r="D22" s="96">
        <f t="shared" si="5"/>
        <v>38864.07</v>
      </c>
      <c r="E22" s="96">
        <f t="shared" si="5"/>
        <v>39507.11</v>
      </c>
      <c r="F22" s="96">
        <f t="shared" si="5"/>
        <v>39640.959999999999</v>
      </c>
      <c r="G22" s="96">
        <f t="shared" si="5"/>
        <v>39640.959999999999</v>
      </c>
      <c r="H22" s="96">
        <f t="shared" si="5"/>
        <v>39749.11</v>
      </c>
      <c r="I22" s="96">
        <f t="shared" si="5"/>
        <v>39749.11</v>
      </c>
      <c r="J22" s="96">
        <f t="shared" si="5"/>
        <v>39749.11</v>
      </c>
      <c r="K22" s="96">
        <f t="shared" si="5"/>
        <v>39749.11</v>
      </c>
      <c r="L22" s="96">
        <f t="shared" si="5"/>
        <v>39796.01</v>
      </c>
      <c r="M22" s="96">
        <f t="shared" si="5"/>
        <v>39896.79</v>
      </c>
      <c r="N22" s="96">
        <f t="shared" si="5"/>
        <v>39896.79</v>
      </c>
      <c r="O22" s="96">
        <f t="shared" si="5"/>
        <v>39896.79</v>
      </c>
      <c r="P22" s="96">
        <f t="shared" si="5"/>
        <v>476135.92000000004</v>
      </c>
      <c r="Q22" s="96">
        <f t="shared" si="5"/>
        <v>10825.920000000042</v>
      </c>
      <c r="R22" s="149">
        <f t="shared" si="3"/>
        <v>2.3266037695299998E-2</v>
      </c>
    </row>
    <row r="23" spans="1:19" x14ac:dyDescent="0.25">
      <c r="A23" s="1"/>
      <c r="B23" s="5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 t="str">
        <f t="shared" si="2"/>
        <v/>
      </c>
      <c r="R23" s="149" t="str">
        <f t="shared" si="3"/>
        <v/>
      </c>
    </row>
    <row r="24" spans="1:19" x14ac:dyDescent="0.25">
      <c r="A24" s="1" t="s">
        <v>11</v>
      </c>
      <c r="B24" s="5" t="s">
        <v>12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 t="str">
        <f t="shared" si="2"/>
        <v/>
      </c>
      <c r="R24" s="149" t="str">
        <f t="shared" si="3"/>
        <v/>
      </c>
    </row>
    <row r="25" spans="1:19" x14ac:dyDescent="0.25">
      <c r="A25" s="1" t="s">
        <v>13</v>
      </c>
      <c r="B25" s="5" t="s">
        <v>14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>
        <v>0</v>
      </c>
      <c r="Q25" s="94" t="str">
        <f t="shared" si="2"/>
        <v/>
      </c>
      <c r="R25" s="149" t="str">
        <f t="shared" si="3"/>
        <v/>
      </c>
    </row>
    <row r="26" spans="1:19" x14ac:dyDescent="0.25">
      <c r="A26" s="1" t="s">
        <v>15</v>
      </c>
      <c r="B26" s="5" t="s">
        <v>16</v>
      </c>
      <c r="C26" s="100">
        <f>SUM(C27:C35)</f>
        <v>119905</v>
      </c>
      <c r="D26" s="100">
        <f t="shared" ref="D26:P26" si="6">ROUND(SUM(D27:D35),0)</f>
        <v>11985</v>
      </c>
      <c r="E26" s="100">
        <f t="shared" si="6"/>
        <v>11985</v>
      </c>
      <c r="F26" s="100">
        <f t="shared" si="6"/>
        <v>11985</v>
      </c>
      <c r="G26" s="100">
        <f t="shared" si="6"/>
        <v>11985</v>
      </c>
      <c r="H26" s="100">
        <f t="shared" si="6"/>
        <v>11985</v>
      </c>
      <c r="I26" s="100">
        <f t="shared" si="6"/>
        <v>11985</v>
      </c>
      <c r="J26" s="100">
        <f t="shared" si="6"/>
        <v>11985</v>
      </c>
      <c r="K26" s="100">
        <f t="shared" si="6"/>
        <v>11985</v>
      </c>
      <c r="L26" s="100">
        <f t="shared" si="6"/>
        <v>11985</v>
      </c>
      <c r="M26" s="100">
        <f t="shared" si="6"/>
        <v>11985</v>
      </c>
      <c r="N26" s="100">
        <f t="shared" si="6"/>
        <v>11985</v>
      </c>
      <c r="O26" s="100">
        <f t="shared" si="6"/>
        <v>11985</v>
      </c>
      <c r="P26" s="100">
        <f t="shared" si="6"/>
        <v>143815</v>
      </c>
      <c r="Q26" s="100">
        <f t="shared" si="2"/>
        <v>23910</v>
      </c>
      <c r="R26" s="149">
        <f t="shared" si="3"/>
        <v>0.1994078645594429</v>
      </c>
    </row>
    <row r="27" spans="1:19" outlineLevel="1" x14ac:dyDescent="0.25">
      <c r="A27" s="1"/>
      <c r="B27" s="31" t="s">
        <v>496</v>
      </c>
      <c r="C27" s="94">
        <v>19416</v>
      </c>
      <c r="D27" s="94">
        <f>VLOOKUP($B27,'CAM est 2017'!$A$6:$P$14,5,FALSE)</f>
        <v>1649.63</v>
      </c>
      <c r="E27" s="94">
        <f>VLOOKUP($B$27,'CAM est 2017'!$A$6:$P$14,5,FALSE)</f>
        <v>1649.63</v>
      </c>
      <c r="F27" s="94">
        <f>VLOOKUP($B$27,'CAM est 2017'!$A$6:$P$14,5,FALSE)</f>
        <v>1649.63</v>
      </c>
      <c r="G27" s="94">
        <f>VLOOKUP($B$27,'CAM est 2017'!$A$6:$P$14,5,FALSE)</f>
        <v>1649.63</v>
      </c>
      <c r="H27" s="94">
        <f>VLOOKUP($B$27,'CAM est 2017'!$A$6:$P$14,5,FALSE)</f>
        <v>1649.63</v>
      </c>
      <c r="I27" s="94">
        <f>VLOOKUP($B$27,'CAM est 2017'!$A$6:$P$14,5,FALSE)</f>
        <v>1649.63</v>
      </c>
      <c r="J27" s="94">
        <f>VLOOKUP($B$27,'CAM est 2017'!$A$6:$P$14,5,FALSE)</f>
        <v>1649.63</v>
      </c>
      <c r="K27" s="94">
        <f>VLOOKUP($B$27,'CAM est 2017'!$A$6:$P$14,5,FALSE)</f>
        <v>1649.63</v>
      </c>
      <c r="L27" s="94">
        <f>VLOOKUP($B$27,'CAM est 2017'!$A$6:$P$14,5,FALSE)</f>
        <v>1649.63</v>
      </c>
      <c r="M27" s="94">
        <f>VLOOKUP($B$27,'CAM est 2017'!$A$6:$P$14,5,FALSE)</f>
        <v>1649.63</v>
      </c>
      <c r="N27" s="94">
        <f>VLOOKUP($B$27,'CAM est 2017'!$A$6:$P$14,5,FALSE)</f>
        <v>1649.63</v>
      </c>
      <c r="O27" s="94">
        <f>VLOOKUP($B$27,'CAM est 2017'!$A$6:$P$14,5,FALSE)</f>
        <v>1649.63</v>
      </c>
      <c r="P27" s="94">
        <f t="shared" ref="P27:P45" si="7">SUM(D27:O27)</f>
        <v>19795.560000000009</v>
      </c>
      <c r="Q27" s="94">
        <f t="shared" si="2"/>
        <v>379.56000000000859</v>
      </c>
      <c r="R27" s="149">
        <f t="shared" si="3"/>
        <v>1.9548825710754461E-2</v>
      </c>
    </row>
    <row r="28" spans="1:19" outlineLevel="1" x14ac:dyDescent="0.25">
      <c r="A28" s="1"/>
      <c r="B28" s="31" t="s">
        <v>497</v>
      </c>
      <c r="C28" s="94">
        <v>0</v>
      </c>
      <c r="D28" s="94">
        <f>VLOOKUP($B28,'CAM est 2017'!$A$6:$P$14,5,FALSE)</f>
        <v>0</v>
      </c>
      <c r="E28" s="94">
        <f>VLOOKUP($B28,'CAM est 2017'!$A$6:$P$14,5,FALSE)</f>
        <v>0</v>
      </c>
      <c r="F28" s="94">
        <f>VLOOKUP($B28,'CAM est 2017'!$A$6:$P$14,5,FALSE)</f>
        <v>0</v>
      </c>
      <c r="G28" s="94">
        <f>VLOOKUP($B28,'CAM est 2017'!$A$6:$P$14,5,FALSE)</f>
        <v>0</v>
      </c>
      <c r="H28" s="94">
        <f>VLOOKUP($B28,'CAM est 2017'!$A$6:$P$14,5,FALSE)</f>
        <v>0</v>
      </c>
      <c r="I28" s="94">
        <f>VLOOKUP($B28,'CAM est 2017'!$A$6:$P$14,5,FALSE)</f>
        <v>0</v>
      </c>
      <c r="J28" s="94">
        <f>VLOOKUP($B28,'CAM est 2017'!$A$6:$P$14,5,FALSE)</f>
        <v>0</v>
      </c>
      <c r="K28" s="94">
        <f>VLOOKUP($B28,'CAM est 2017'!$A$6:$P$14,5,FALSE)</f>
        <v>0</v>
      </c>
      <c r="L28" s="94">
        <f>VLOOKUP($B28,'CAM est 2017'!$A$6:$P$14,5,FALSE)</f>
        <v>0</v>
      </c>
      <c r="M28" s="94">
        <f>VLOOKUP($B28,'CAM est 2017'!$A$6:$P$14,5,FALSE)</f>
        <v>0</v>
      </c>
      <c r="N28" s="94">
        <f>VLOOKUP($B28,'CAM est 2017'!$A$6:$P$14,5,FALSE)</f>
        <v>0</v>
      </c>
      <c r="O28" s="94">
        <f>VLOOKUP($B28,'CAM est 2017'!$A$6:$P$14,5,FALSE)</f>
        <v>0</v>
      </c>
      <c r="P28" s="94">
        <f t="shared" si="7"/>
        <v>0</v>
      </c>
      <c r="Q28" s="94">
        <f t="shared" si="2"/>
        <v>0</v>
      </c>
      <c r="R28" s="149" t="str">
        <f t="shared" si="3"/>
        <v/>
      </c>
    </row>
    <row r="29" spans="1:19" outlineLevel="1" x14ac:dyDescent="0.25">
      <c r="A29" s="1"/>
      <c r="B29" s="31" t="s">
        <v>498</v>
      </c>
      <c r="C29" s="94">
        <v>18864</v>
      </c>
      <c r="D29" s="94">
        <f>VLOOKUP($B29,'CAM est 2017'!$A$6:$P$14,5,FALSE)</f>
        <v>1551.99</v>
      </c>
      <c r="E29" s="94">
        <f>VLOOKUP($B29,'CAM est 2017'!$A$6:$P$14,5,FALSE)</f>
        <v>1551.99</v>
      </c>
      <c r="F29" s="94">
        <f>VLOOKUP($B29,'CAM est 2017'!$A$6:$P$14,5,FALSE)</f>
        <v>1551.99</v>
      </c>
      <c r="G29" s="94">
        <f>VLOOKUP($B29,'CAM est 2017'!$A$6:$P$14,5,FALSE)</f>
        <v>1551.99</v>
      </c>
      <c r="H29" s="94">
        <f>VLOOKUP($B29,'CAM est 2017'!$A$6:$P$14,5,FALSE)</f>
        <v>1551.99</v>
      </c>
      <c r="I29" s="94">
        <f>VLOOKUP($B29,'CAM est 2017'!$A$6:$P$14,5,FALSE)</f>
        <v>1551.99</v>
      </c>
      <c r="J29" s="94">
        <f>VLOOKUP($B29,'CAM est 2017'!$A$6:$P$14,5,FALSE)</f>
        <v>1551.99</v>
      </c>
      <c r="K29" s="94">
        <f>VLOOKUP($B29,'CAM est 2017'!$A$6:$P$14,5,FALSE)</f>
        <v>1551.99</v>
      </c>
      <c r="L29" s="94">
        <f>VLOOKUP($B29,'CAM est 2017'!$A$6:$P$14,5,FALSE)</f>
        <v>1551.99</v>
      </c>
      <c r="M29" s="94">
        <f>VLOOKUP($B29,'CAM est 2017'!$A$6:$P$14,5,FALSE)</f>
        <v>1551.99</v>
      </c>
      <c r="N29" s="94">
        <f>VLOOKUP($B29,'CAM est 2017'!$A$6:$P$14,5,FALSE)</f>
        <v>1551.99</v>
      </c>
      <c r="O29" s="94">
        <f>VLOOKUP($B29,'CAM est 2017'!$A$6:$P$14,5,FALSE)</f>
        <v>1551.99</v>
      </c>
      <c r="P29" s="94">
        <f t="shared" si="7"/>
        <v>18623.88</v>
      </c>
      <c r="Q29" s="94">
        <f t="shared" si="2"/>
        <v>-240.11999999999898</v>
      </c>
      <c r="R29" s="149">
        <f t="shared" si="3"/>
        <v>-1.2729007633587731E-2</v>
      </c>
      <c r="S29" t="s">
        <v>507</v>
      </c>
    </row>
    <row r="30" spans="1:19" outlineLevel="1" x14ac:dyDescent="0.25">
      <c r="A30" s="1"/>
      <c r="B30" s="31" t="s">
        <v>499</v>
      </c>
      <c r="C30" s="94">
        <v>18337</v>
      </c>
      <c r="D30" s="94">
        <f>VLOOKUP($B30,'CAM est 2017'!$A$6:$P$14,5,FALSE)</f>
        <v>1554.55</v>
      </c>
      <c r="E30" s="94">
        <f>VLOOKUP($B30,'CAM est 2017'!$A$6:$P$14,5,FALSE)</f>
        <v>1554.55</v>
      </c>
      <c r="F30" s="94">
        <f>VLOOKUP($B30,'CAM est 2017'!$A$6:$P$14,5,FALSE)</f>
        <v>1554.55</v>
      </c>
      <c r="G30" s="94">
        <f>VLOOKUP($B30,'CAM est 2017'!$A$6:$P$14,5,FALSE)</f>
        <v>1554.55</v>
      </c>
      <c r="H30" s="94">
        <f>VLOOKUP($B30,'CAM est 2017'!$A$6:$P$14,5,FALSE)</f>
        <v>1554.55</v>
      </c>
      <c r="I30" s="94">
        <f>VLOOKUP($B30,'CAM est 2017'!$A$6:$P$14,5,FALSE)</f>
        <v>1554.55</v>
      </c>
      <c r="J30" s="94">
        <f>VLOOKUP($B30,'CAM est 2017'!$A$6:$P$14,5,FALSE)</f>
        <v>1554.55</v>
      </c>
      <c r="K30" s="94">
        <f>VLOOKUP($B30,'CAM est 2017'!$A$6:$P$14,5,FALSE)</f>
        <v>1554.55</v>
      </c>
      <c r="L30" s="94">
        <f>VLOOKUP($B30,'CAM est 2017'!$A$6:$P$14,5,FALSE)</f>
        <v>1554.55</v>
      </c>
      <c r="M30" s="94">
        <f>VLOOKUP($B30,'CAM est 2017'!$A$6:$P$14,5,FALSE)</f>
        <v>1554.55</v>
      </c>
      <c r="N30" s="94">
        <f>VLOOKUP($B30,'CAM est 2017'!$A$6:$P$14,5,FALSE)</f>
        <v>1554.55</v>
      </c>
      <c r="O30" s="94">
        <f>VLOOKUP($B30,'CAM est 2017'!$A$6:$P$14,5,FALSE)</f>
        <v>1554.55</v>
      </c>
      <c r="P30" s="94">
        <f t="shared" si="7"/>
        <v>18654.599999999995</v>
      </c>
      <c r="Q30" s="94">
        <f t="shared" si="2"/>
        <v>317.59999999999491</v>
      </c>
      <c r="R30" s="149">
        <f t="shared" si="3"/>
        <v>1.7320172329170252E-2</v>
      </c>
    </row>
    <row r="31" spans="1:19" outlineLevel="1" x14ac:dyDescent="0.25">
      <c r="A31" s="169"/>
      <c r="B31" s="31" t="s">
        <v>500</v>
      </c>
      <c r="C31" s="94">
        <v>7264</v>
      </c>
      <c r="D31" s="94">
        <f>VLOOKUP($B31,'CAM est 2017'!$A$6:$P$14,5,FALSE)</f>
        <v>616.9</v>
      </c>
      <c r="E31" s="94">
        <f>VLOOKUP($B31,'CAM est 2017'!$A$6:$P$14,5,FALSE)</f>
        <v>616.9</v>
      </c>
      <c r="F31" s="94">
        <f>VLOOKUP($B31,'CAM est 2017'!$A$6:$P$14,5,FALSE)</f>
        <v>616.9</v>
      </c>
      <c r="G31" s="94">
        <f>VLOOKUP($B31,'CAM est 2017'!$A$6:$P$14,5,FALSE)</f>
        <v>616.9</v>
      </c>
      <c r="H31" s="94">
        <f>VLOOKUP($B31,'CAM est 2017'!$A$6:$P$14,5,FALSE)</f>
        <v>616.9</v>
      </c>
      <c r="I31" s="94">
        <f>VLOOKUP($B31,'CAM est 2017'!$A$6:$P$14,5,FALSE)</f>
        <v>616.9</v>
      </c>
      <c r="J31" s="94">
        <f>VLOOKUP($B31,'CAM est 2017'!$A$6:$P$14,5,FALSE)</f>
        <v>616.9</v>
      </c>
      <c r="K31" s="94">
        <f>VLOOKUP($B31,'CAM est 2017'!$A$6:$P$14,5,FALSE)</f>
        <v>616.9</v>
      </c>
      <c r="L31" s="94">
        <f>VLOOKUP($B31,'CAM est 2017'!$A$6:$P$14,5,FALSE)</f>
        <v>616.9</v>
      </c>
      <c r="M31" s="94">
        <f>VLOOKUP($B31,'CAM est 2017'!$A$6:$P$14,5,FALSE)</f>
        <v>616.9</v>
      </c>
      <c r="N31" s="94">
        <f>VLOOKUP($B31,'CAM est 2017'!$A$6:$P$14,5,FALSE)</f>
        <v>616.9</v>
      </c>
      <c r="O31" s="94">
        <f>VLOOKUP($B31,'CAM est 2017'!$A$6:$P$14,5,FALSE)</f>
        <v>616.9</v>
      </c>
      <c r="P31" s="94">
        <f t="shared" ref="P31" si="8">SUM(D31:O31)</f>
        <v>7402.7999999999984</v>
      </c>
      <c r="Q31" s="94">
        <f t="shared" si="2"/>
        <v>138.79999999999836</v>
      </c>
      <c r="R31" s="149">
        <f t="shared" si="3"/>
        <v>1.9107929515418277E-2</v>
      </c>
    </row>
    <row r="32" spans="1:19" outlineLevel="1" x14ac:dyDescent="0.25">
      <c r="A32" s="1"/>
      <c r="B32" s="31" t="s">
        <v>501</v>
      </c>
      <c r="C32" s="94">
        <v>0</v>
      </c>
      <c r="D32" s="94">
        <f>VLOOKUP($B32,'CAM est 2017'!$A$6:$P$14,5,FALSE)</f>
        <v>1874</v>
      </c>
      <c r="E32" s="94">
        <f>VLOOKUP($B32,'CAM est 2017'!$A$6:$P$14,5,FALSE)</f>
        <v>1874</v>
      </c>
      <c r="F32" s="94">
        <f>VLOOKUP($B32,'CAM est 2017'!$A$6:$P$14,5,FALSE)</f>
        <v>1874</v>
      </c>
      <c r="G32" s="94">
        <f>VLOOKUP($B32,'CAM est 2017'!$A$6:$P$14,5,FALSE)</f>
        <v>1874</v>
      </c>
      <c r="H32" s="94">
        <f>VLOOKUP($B32,'CAM est 2017'!$A$6:$P$14,5,FALSE)</f>
        <v>1874</v>
      </c>
      <c r="I32" s="94">
        <f>VLOOKUP($B32,'CAM est 2017'!$A$6:$P$14,5,FALSE)</f>
        <v>1874</v>
      </c>
      <c r="J32" s="94">
        <f>VLOOKUP($B32,'CAM est 2017'!$A$6:$P$14,5,FALSE)</f>
        <v>1874</v>
      </c>
      <c r="K32" s="94">
        <f>VLOOKUP($B32,'CAM est 2017'!$A$6:$P$14,5,FALSE)</f>
        <v>1874</v>
      </c>
      <c r="L32" s="94">
        <f>VLOOKUP($B32,'CAM est 2017'!$A$6:$P$14,5,FALSE)</f>
        <v>1874</v>
      </c>
      <c r="M32" s="94">
        <f>VLOOKUP($B32,'CAM est 2017'!$A$6:$P$14,5,FALSE)</f>
        <v>1874</v>
      </c>
      <c r="N32" s="94">
        <f>VLOOKUP($B32,'CAM est 2017'!$A$6:$P$14,5,FALSE)</f>
        <v>1874</v>
      </c>
      <c r="O32" s="94">
        <f>VLOOKUP($B32,'CAM est 2017'!$A$6:$P$14,5,FALSE)</f>
        <v>1874</v>
      </c>
      <c r="P32" s="94">
        <f t="shared" si="7"/>
        <v>22488</v>
      </c>
      <c r="Q32" s="94">
        <f t="shared" si="2"/>
        <v>22488</v>
      </c>
      <c r="R32" s="149" t="str">
        <f t="shared" si="3"/>
        <v/>
      </c>
    </row>
    <row r="33" spans="1:18" outlineLevel="1" x14ac:dyDescent="0.25">
      <c r="A33" s="1"/>
      <c r="B33" s="31" t="s">
        <v>502</v>
      </c>
      <c r="C33" s="94">
        <v>40797</v>
      </c>
      <c r="D33" s="94">
        <f>VLOOKUP($B33,'CAM est 2017'!$A$6:$P$14,5,FALSE)</f>
        <v>3429.09</v>
      </c>
      <c r="E33" s="94">
        <f>VLOOKUP($B33,'CAM est 2017'!$A$6:$P$14,5,FALSE)</f>
        <v>3429.09</v>
      </c>
      <c r="F33" s="94">
        <f>VLOOKUP($B33,'CAM est 2017'!$A$6:$P$14,5,FALSE)</f>
        <v>3429.09</v>
      </c>
      <c r="G33" s="94">
        <f>VLOOKUP($B33,'CAM est 2017'!$A$6:$P$14,5,FALSE)</f>
        <v>3429.09</v>
      </c>
      <c r="H33" s="94">
        <f>VLOOKUP($B33,'CAM est 2017'!$A$6:$P$14,5,FALSE)</f>
        <v>3429.09</v>
      </c>
      <c r="I33" s="94">
        <f>VLOOKUP($B33,'CAM est 2017'!$A$6:$P$14,5,FALSE)</f>
        <v>3429.09</v>
      </c>
      <c r="J33" s="94">
        <f>VLOOKUP($B33,'CAM est 2017'!$A$6:$P$14,5,FALSE)</f>
        <v>3429.09</v>
      </c>
      <c r="K33" s="94">
        <f>VLOOKUP($B33,'CAM est 2017'!$A$6:$P$14,5,FALSE)</f>
        <v>3429.09</v>
      </c>
      <c r="L33" s="94">
        <f>VLOOKUP($B33,'CAM est 2017'!$A$6:$P$14,5,FALSE)</f>
        <v>3429.09</v>
      </c>
      <c r="M33" s="94">
        <f>VLOOKUP($B33,'CAM est 2017'!$A$6:$P$14,5,FALSE)</f>
        <v>3429.09</v>
      </c>
      <c r="N33" s="94">
        <f>VLOOKUP($B33,'CAM est 2017'!$A$6:$P$14,5,FALSE)</f>
        <v>3429.09</v>
      </c>
      <c r="O33" s="94">
        <f>VLOOKUP($B33,'CAM est 2017'!$A$6:$P$14,5,FALSE)</f>
        <v>3429.09</v>
      </c>
      <c r="P33" s="94">
        <f t="shared" si="7"/>
        <v>41149.08</v>
      </c>
      <c r="Q33" s="94">
        <f t="shared" si="2"/>
        <v>352.08000000000175</v>
      </c>
      <c r="R33" s="149">
        <f t="shared" si="3"/>
        <v>8.630046326935847E-3</v>
      </c>
    </row>
    <row r="34" spans="1:18" outlineLevel="1" x14ac:dyDescent="0.25">
      <c r="A34" s="7"/>
      <c r="B34" s="31" t="s">
        <v>503</v>
      </c>
      <c r="C34" s="94">
        <v>15227</v>
      </c>
      <c r="D34" s="94">
        <f>VLOOKUP($B34,'CAM est 2017'!$A$6:$P$14,5,FALSE)</f>
        <v>1308.42</v>
      </c>
      <c r="E34" s="94">
        <f>VLOOKUP($B34,'CAM est 2017'!$A$6:$P$14,5,FALSE)</f>
        <v>1308.42</v>
      </c>
      <c r="F34" s="94">
        <f>VLOOKUP($B34,'CAM est 2017'!$A$6:$P$14,5,FALSE)</f>
        <v>1308.42</v>
      </c>
      <c r="G34" s="94">
        <f>VLOOKUP($B34,'CAM est 2017'!$A$6:$P$14,5,FALSE)</f>
        <v>1308.42</v>
      </c>
      <c r="H34" s="94">
        <f>VLOOKUP($B34,'CAM est 2017'!$A$6:$P$14,5,FALSE)</f>
        <v>1308.42</v>
      </c>
      <c r="I34" s="94">
        <f>VLOOKUP($B34,'CAM est 2017'!$A$6:$P$14,5,FALSE)</f>
        <v>1308.42</v>
      </c>
      <c r="J34" s="94">
        <f>VLOOKUP($B34,'CAM est 2017'!$A$6:$P$14,5,FALSE)</f>
        <v>1308.42</v>
      </c>
      <c r="K34" s="94">
        <f>VLOOKUP($B34,'CAM est 2017'!$A$6:$P$14,5,FALSE)</f>
        <v>1308.42</v>
      </c>
      <c r="L34" s="94">
        <f>VLOOKUP($B34,'CAM est 2017'!$A$6:$P$14,5,FALSE)</f>
        <v>1308.42</v>
      </c>
      <c r="M34" s="94">
        <f>VLOOKUP($B34,'CAM est 2017'!$A$6:$P$14,5,FALSE)</f>
        <v>1308.42</v>
      </c>
      <c r="N34" s="94">
        <f>VLOOKUP($B34,'CAM est 2017'!$A$6:$P$14,5,FALSE)</f>
        <v>1308.42</v>
      </c>
      <c r="O34" s="94">
        <f>VLOOKUP($B34,'CAM est 2017'!$A$6:$P$14,5,FALSE)</f>
        <v>1308.42</v>
      </c>
      <c r="P34" s="94">
        <f t="shared" si="7"/>
        <v>15701.04</v>
      </c>
      <c r="Q34" s="94">
        <f t="shared" si="2"/>
        <v>474.04000000000087</v>
      </c>
      <c r="R34" s="149">
        <f t="shared" si="3"/>
        <v>3.1131542654495362E-2</v>
      </c>
    </row>
    <row r="35" spans="1:18" outlineLevel="1" x14ac:dyDescent="0.25">
      <c r="A35" s="7"/>
      <c r="B35" s="31" t="s">
        <v>504</v>
      </c>
      <c r="C35" s="94"/>
      <c r="D35" s="94">
        <f>VLOOKUP($B35,'CAM est 2017'!$A$6:$P$14,5,FALSE)</f>
        <v>0</v>
      </c>
      <c r="E35" s="94">
        <f>VLOOKUP($B35,'CAM est 2017'!$A$6:$P$14,5,FALSE)</f>
        <v>0</v>
      </c>
      <c r="F35" s="94">
        <f>VLOOKUP($B35,'CAM est 2017'!$A$6:$P$14,5,FALSE)</f>
        <v>0</v>
      </c>
      <c r="G35" s="94">
        <f>VLOOKUP($B35,'CAM est 2017'!$A$6:$P$14,5,FALSE)</f>
        <v>0</v>
      </c>
      <c r="H35" s="94">
        <f>VLOOKUP($B35,'CAM est 2017'!$A$6:$P$14,5,FALSE)</f>
        <v>0</v>
      </c>
      <c r="I35" s="94">
        <f>VLOOKUP($B35,'CAM est 2017'!$A$6:$P$14,5,FALSE)</f>
        <v>0</v>
      </c>
      <c r="J35" s="94">
        <f>VLOOKUP($B35,'CAM est 2017'!$A$6:$P$14,5,FALSE)</f>
        <v>0</v>
      </c>
      <c r="K35" s="94">
        <f>VLOOKUP($B35,'CAM est 2017'!$A$6:$P$14,5,FALSE)</f>
        <v>0</v>
      </c>
      <c r="L35" s="94">
        <f>VLOOKUP($B35,'CAM est 2017'!$A$6:$P$14,5,FALSE)</f>
        <v>0</v>
      </c>
      <c r="M35" s="94">
        <f>VLOOKUP($B35,'CAM est 2017'!$A$6:$P$14,5,FALSE)</f>
        <v>0</v>
      </c>
      <c r="N35" s="94">
        <f>VLOOKUP($B35,'CAM est 2017'!$A$6:$P$14,5,FALSE)</f>
        <v>0</v>
      </c>
      <c r="O35" s="94">
        <f>VLOOKUP($B35,'CAM est 2017'!$A$6:$P$14,5,FALSE)</f>
        <v>0</v>
      </c>
      <c r="P35" s="94">
        <f t="shared" si="7"/>
        <v>0</v>
      </c>
      <c r="Q35" s="94" t="str">
        <f t="shared" si="2"/>
        <v/>
      </c>
      <c r="R35" s="149" t="str">
        <f t="shared" si="3"/>
        <v/>
      </c>
    </row>
    <row r="36" spans="1:18" x14ac:dyDescent="0.25">
      <c r="A36" s="1" t="s">
        <v>17</v>
      </c>
      <c r="B36" s="5" t="s">
        <v>18</v>
      </c>
      <c r="C36" s="100">
        <f>SUM(C37:C45)</f>
        <v>0</v>
      </c>
      <c r="D36" s="100">
        <f>SUM(D37:D45)</f>
        <v>0</v>
      </c>
      <c r="E36" s="100">
        <f>SUM(E37:E45)</f>
        <v>0</v>
      </c>
      <c r="F36" s="100">
        <f>SUM(F37:F45)</f>
        <v>0</v>
      </c>
      <c r="G36" s="100">
        <f>SUM(G37:G45)</f>
        <v>0</v>
      </c>
      <c r="H36" s="100">
        <f>SUM(H37:H45)</f>
        <v>0</v>
      </c>
      <c r="I36" s="100">
        <f>SUM(I37:I45)</f>
        <v>0</v>
      </c>
      <c r="J36" s="100">
        <f>SUM(J37:J45)</f>
        <v>0</v>
      </c>
      <c r="K36" s="100">
        <f>SUM(K37:K45)</f>
        <v>0</v>
      </c>
      <c r="L36" s="100">
        <f>SUM(L37:L45)</f>
        <v>0</v>
      </c>
      <c r="M36" s="100">
        <f>SUM(M37:M45)</f>
        <v>0</v>
      </c>
      <c r="N36" s="100">
        <f>SUM(N37:N45)</f>
        <v>0</v>
      </c>
      <c r="O36" s="100">
        <f>SUM(O37:O45)</f>
        <v>0</v>
      </c>
      <c r="P36" s="100">
        <f>SUM(P37:P45)</f>
        <v>0</v>
      </c>
      <c r="Q36" s="100">
        <f t="shared" si="2"/>
        <v>0</v>
      </c>
      <c r="R36" s="149" t="str">
        <f t="shared" si="3"/>
        <v/>
      </c>
    </row>
    <row r="37" spans="1:18" hidden="1" outlineLevel="1" x14ac:dyDescent="0.25">
      <c r="A37" s="162"/>
      <c r="B37" s="31" t="s">
        <v>496</v>
      </c>
      <c r="C37" s="94">
        <v>0</v>
      </c>
      <c r="D37" s="94">
        <f>VLOOKUP($B$37,'Ins 2016'!$A$6:$P$13,5,FALSE)</f>
        <v>0</v>
      </c>
      <c r="E37" s="94">
        <f>VLOOKUP($B$37,'Ins 2016'!$A$6:$P$13,5,FALSE)</f>
        <v>0</v>
      </c>
      <c r="F37" s="94">
        <f>VLOOKUP($B$37,'Ins 2016'!$A$6:$P$13,5,FALSE)</f>
        <v>0</v>
      </c>
      <c r="G37" s="94">
        <f>VLOOKUP($B$37,'Ins 2016'!$A$6:$P$13,5,FALSE)</f>
        <v>0</v>
      </c>
      <c r="H37" s="94">
        <f>VLOOKUP($B$37,'Ins 2016'!$A$6:$P$13,5,FALSE)</f>
        <v>0</v>
      </c>
      <c r="I37" s="94">
        <f>VLOOKUP($B$37,'Ins 2016'!$A$6:$P$13,5,FALSE)</f>
        <v>0</v>
      </c>
      <c r="J37" s="94">
        <f>VLOOKUP($B$37,'Ins 2016'!$A$6:$P$13,5,FALSE)</f>
        <v>0</v>
      </c>
      <c r="K37" s="94">
        <f>VLOOKUP($B$37,'Ins 2016'!$A$6:$P$13,5,FALSE)</f>
        <v>0</v>
      </c>
      <c r="L37" s="94">
        <f>VLOOKUP($B$37,'Ins 2016'!$A$6:$P$13,5,FALSE)</f>
        <v>0</v>
      </c>
      <c r="M37" s="94">
        <f>VLOOKUP($B$37,'Ins 2016'!$A$6:$P$13,5,FALSE)</f>
        <v>0</v>
      </c>
      <c r="N37" s="94">
        <f>VLOOKUP($B$37,'Ins 2016'!$A$6:$P$13,5,FALSE)</f>
        <v>0</v>
      </c>
      <c r="O37" s="94">
        <f>VLOOKUP($B$37,'Ins 2016'!$A$6:$P$13,5,FALSE)</f>
        <v>0</v>
      </c>
      <c r="P37" s="94">
        <f t="shared" si="7"/>
        <v>0</v>
      </c>
      <c r="Q37" s="94">
        <f t="shared" si="2"/>
        <v>0</v>
      </c>
      <c r="R37" s="149" t="str">
        <f t="shared" si="3"/>
        <v/>
      </c>
    </row>
    <row r="38" spans="1:18" hidden="1" outlineLevel="1" x14ac:dyDescent="0.25">
      <c r="A38" s="169"/>
      <c r="B38" s="31" t="s">
        <v>497</v>
      </c>
      <c r="C38" s="94"/>
      <c r="D38" s="94">
        <f>VLOOKUP($B$37,'Ins 2016'!$A$6:$P$13,5,FALSE)</f>
        <v>0</v>
      </c>
      <c r="E38" s="94">
        <f>VLOOKUP($B$37,'Ins 2016'!$A$6:$P$13,5,FALSE)</f>
        <v>0</v>
      </c>
      <c r="F38" s="94">
        <f>VLOOKUP($B$37,'Ins 2016'!$A$6:$P$13,5,FALSE)</f>
        <v>0</v>
      </c>
      <c r="G38" s="94">
        <f>VLOOKUP($B$37,'Ins 2016'!$A$6:$P$13,5,FALSE)</f>
        <v>0</v>
      </c>
      <c r="H38" s="94">
        <f>VLOOKUP($B$37,'Ins 2016'!$A$6:$P$13,5,FALSE)</f>
        <v>0</v>
      </c>
      <c r="I38" s="94">
        <f>VLOOKUP($B$37,'Ins 2016'!$A$6:$P$13,5,FALSE)</f>
        <v>0</v>
      </c>
      <c r="J38" s="94">
        <f>VLOOKUP($B$37,'Ins 2016'!$A$6:$P$13,5,FALSE)</f>
        <v>0</v>
      </c>
      <c r="K38" s="94">
        <f>VLOOKUP($B$37,'Ins 2016'!$A$6:$P$13,5,FALSE)</f>
        <v>0</v>
      </c>
      <c r="L38" s="94">
        <f>VLOOKUP($B$37,'Ins 2016'!$A$6:$P$13,5,FALSE)</f>
        <v>0</v>
      </c>
      <c r="M38" s="94">
        <f>VLOOKUP($B$37,'Ins 2016'!$A$6:$P$13,5,FALSE)</f>
        <v>0</v>
      </c>
      <c r="N38" s="94">
        <f>VLOOKUP($B$37,'Ins 2016'!$A$6:$P$13,5,FALSE)</f>
        <v>0</v>
      </c>
      <c r="O38" s="94">
        <f>VLOOKUP($B$37,'Ins 2016'!$A$6:$P$13,5,FALSE)</f>
        <v>0</v>
      </c>
      <c r="P38" s="94">
        <f t="shared" si="7"/>
        <v>0</v>
      </c>
      <c r="Q38" s="94"/>
      <c r="R38" s="149"/>
    </row>
    <row r="39" spans="1:18" hidden="1" outlineLevel="1" x14ac:dyDescent="0.25">
      <c r="A39" s="169"/>
      <c r="B39" s="31" t="s">
        <v>498</v>
      </c>
      <c r="C39" s="94"/>
      <c r="D39" s="94">
        <f>VLOOKUP($B$37,'Ins 2016'!$A$6:$P$13,5,FALSE)</f>
        <v>0</v>
      </c>
      <c r="E39" s="94">
        <f>VLOOKUP($B$37,'Ins 2016'!$A$6:$P$13,5,FALSE)</f>
        <v>0</v>
      </c>
      <c r="F39" s="94">
        <f>VLOOKUP($B$37,'Ins 2016'!$A$6:$P$13,5,FALSE)</f>
        <v>0</v>
      </c>
      <c r="G39" s="94">
        <f>VLOOKUP($B$37,'Ins 2016'!$A$6:$P$13,5,FALSE)</f>
        <v>0</v>
      </c>
      <c r="H39" s="94">
        <f>VLOOKUP($B$37,'Ins 2016'!$A$6:$P$13,5,FALSE)</f>
        <v>0</v>
      </c>
      <c r="I39" s="94">
        <f>VLOOKUP($B$37,'Ins 2016'!$A$6:$P$13,5,FALSE)</f>
        <v>0</v>
      </c>
      <c r="J39" s="94">
        <f>VLOOKUP($B$37,'Ins 2016'!$A$6:$P$13,5,FALSE)</f>
        <v>0</v>
      </c>
      <c r="K39" s="94">
        <f>VLOOKUP($B$37,'Ins 2016'!$A$6:$P$13,5,FALSE)</f>
        <v>0</v>
      </c>
      <c r="L39" s="94">
        <f>VLOOKUP($B$37,'Ins 2016'!$A$6:$P$13,5,FALSE)</f>
        <v>0</v>
      </c>
      <c r="M39" s="94">
        <f>VLOOKUP($B$37,'Ins 2016'!$A$6:$P$13,5,FALSE)</f>
        <v>0</v>
      </c>
      <c r="N39" s="94">
        <f>VLOOKUP($B$37,'Ins 2016'!$A$6:$P$13,5,FALSE)</f>
        <v>0</v>
      </c>
      <c r="O39" s="94">
        <f>VLOOKUP($B$37,'Ins 2016'!$A$6:$P$13,5,FALSE)</f>
        <v>0</v>
      </c>
      <c r="P39" s="94">
        <f t="shared" si="7"/>
        <v>0</v>
      </c>
      <c r="Q39" s="94"/>
      <c r="R39" s="149"/>
    </row>
    <row r="40" spans="1:18" hidden="1" outlineLevel="1" x14ac:dyDescent="0.25">
      <c r="A40" s="169"/>
      <c r="B40" s="31" t="s">
        <v>499</v>
      </c>
      <c r="C40" s="94"/>
      <c r="D40" s="94">
        <f>VLOOKUP($B$37,'Ins 2016'!$A$6:$P$13,5,FALSE)</f>
        <v>0</v>
      </c>
      <c r="E40" s="94">
        <f>VLOOKUP($B$37,'Ins 2016'!$A$6:$P$13,5,FALSE)</f>
        <v>0</v>
      </c>
      <c r="F40" s="94">
        <f>VLOOKUP($B$37,'Ins 2016'!$A$6:$P$13,5,FALSE)</f>
        <v>0</v>
      </c>
      <c r="G40" s="94">
        <f>VLOOKUP($B$37,'Ins 2016'!$A$6:$P$13,5,FALSE)</f>
        <v>0</v>
      </c>
      <c r="H40" s="94">
        <f>VLOOKUP($B$37,'Ins 2016'!$A$6:$P$13,5,FALSE)</f>
        <v>0</v>
      </c>
      <c r="I40" s="94">
        <f>VLOOKUP($B$37,'Ins 2016'!$A$6:$P$13,5,FALSE)</f>
        <v>0</v>
      </c>
      <c r="J40" s="94">
        <f>VLOOKUP($B$37,'Ins 2016'!$A$6:$P$13,5,FALSE)</f>
        <v>0</v>
      </c>
      <c r="K40" s="94">
        <f>VLOOKUP($B$37,'Ins 2016'!$A$6:$P$13,5,FALSE)</f>
        <v>0</v>
      </c>
      <c r="L40" s="94">
        <f>VLOOKUP($B$37,'Ins 2016'!$A$6:$P$13,5,FALSE)</f>
        <v>0</v>
      </c>
      <c r="M40" s="94">
        <f>VLOOKUP($B$37,'Ins 2016'!$A$6:$P$13,5,FALSE)</f>
        <v>0</v>
      </c>
      <c r="N40" s="94">
        <f>VLOOKUP($B$37,'Ins 2016'!$A$6:$P$13,5,FALSE)</f>
        <v>0</v>
      </c>
      <c r="O40" s="94">
        <f>VLOOKUP($B$37,'Ins 2016'!$A$6:$P$13,5,FALSE)</f>
        <v>0</v>
      </c>
      <c r="P40" s="94">
        <f t="shared" si="7"/>
        <v>0</v>
      </c>
      <c r="Q40" s="94"/>
      <c r="R40" s="149"/>
    </row>
    <row r="41" spans="1:18" hidden="1" outlineLevel="1" x14ac:dyDescent="0.25">
      <c r="A41" s="169"/>
      <c r="B41" s="31" t="s">
        <v>500</v>
      </c>
      <c r="C41" s="94"/>
      <c r="D41" s="94">
        <f>VLOOKUP($B$37,'Ins 2016'!$A$6:$P$13,5,FALSE)</f>
        <v>0</v>
      </c>
      <c r="E41" s="94">
        <f>VLOOKUP($B$37,'Ins 2016'!$A$6:$P$13,5,FALSE)</f>
        <v>0</v>
      </c>
      <c r="F41" s="94">
        <f>VLOOKUP($B$37,'Ins 2016'!$A$6:$P$13,5,FALSE)</f>
        <v>0</v>
      </c>
      <c r="G41" s="94">
        <f>VLOOKUP($B$37,'Ins 2016'!$A$6:$P$13,5,FALSE)</f>
        <v>0</v>
      </c>
      <c r="H41" s="94">
        <f>VLOOKUP($B$37,'Ins 2016'!$A$6:$P$13,5,FALSE)</f>
        <v>0</v>
      </c>
      <c r="I41" s="94">
        <f>VLOOKUP($B$37,'Ins 2016'!$A$6:$P$13,5,FALSE)</f>
        <v>0</v>
      </c>
      <c r="J41" s="94">
        <f>VLOOKUP($B$37,'Ins 2016'!$A$6:$P$13,5,FALSE)</f>
        <v>0</v>
      </c>
      <c r="K41" s="94">
        <f>VLOOKUP($B$37,'Ins 2016'!$A$6:$P$13,5,FALSE)</f>
        <v>0</v>
      </c>
      <c r="L41" s="94">
        <f>VLOOKUP($B$37,'Ins 2016'!$A$6:$P$13,5,FALSE)</f>
        <v>0</v>
      </c>
      <c r="M41" s="94">
        <f>VLOOKUP($B$37,'Ins 2016'!$A$6:$P$13,5,FALSE)</f>
        <v>0</v>
      </c>
      <c r="N41" s="94">
        <f>VLOOKUP($B$37,'Ins 2016'!$A$6:$P$13,5,FALSE)</f>
        <v>0</v>
      </c>
      <c r="O41" s="94">
        <f>VLOOKUP($B$37,'Ins 2016'!$A$6:$P$13,5,FALSE)</f>
        <v>0</v>
      </c>
      <c r="P41" s="94">
        <f t="shared" si="7"/>
        <v>0</v>
      </c>
      <c r="Q41" s="94"/>
      <c r="R41" s="149"/>
    </row>
    <row r="42" spans="1:18" hidden="1" outlineLevel="1" x14ac:dyDescent="0.25">
      <c r="A42" s="169"/>
      <c r="B42" s="31" t="s">
        <v>501</v>
      </c>
      <c r="C42" s="94"/>
      <c r="D42" s="94">
        <f>VLOOKUP($B$37,'Ins 2016'!$A$6:$P$13,5,FALSE)</f>
        <v>0</v>
      </c>
      <c r="E42" s="94">
        <f>VLOOKUP($B$37,'Ins 2016'!$A$6:$P$13,5,FALSE)</f>
        <v>0</v>
      </c>
      <c r="F42" s="94">
        <f>VLOOKUP($B$37,'Ins 2016'!$A$6:$P$13,5,FALSE)</f>
        <v>0</v>
      </c>
      <c r="G42" s="94">
        <f>VLOOKUP($B$37,'Ins 2016'!$A$6:$P$13,5,FALSE)</f>
        <v>0</v>
      </c>
      <c r="H42" s="94">
        <f>VLOOKUP($B$37,'Ins 2016'!$A$6:$P$13,5,FALSE)</f>
        <v>0</v>
      </c>
      <c r="I42" s="94">
        <f>VLOOKUP($B$37,'Ins 2016'!$A$6:$P$13,5,FALSE)</f>
        <v>0</v>
      </c>
      <c r="J42" s="94">
        <f>VLOOKUP($B$37,'Ins 2016'!$A$6:$P$13,5,FALSE)</f>
        <v>0</v>
      </c>
      <c r="K42" s="94">
        <f>VLOOKUP($B$37,'Ins 2016'!$A$6:$P$13,5,FALSE)</f>
        <v>0</v>
      </c>
      <c r="L42" s="94">
        <f>VLOOKUP($B$37,'Ins 2016'!$A$6:$P$13,5,FALSE)</f>
        <v>0</v>
      </c>
      <c r="M42" s="94">
        <f>VLOOKUP($B$37,'Ins 2016'!$A$6:$P$13,5,FALSE)</f>
        <v>0</v>
      </c>
      <c r="N42" s="94">
        <f>VLOOKUP($B$37,'Ins 2016'!$A$6:$P$13,5,FALSE)</f>
        <v>0</v>
      </c>
      <c r="O42" s="94">
        <f>VLOOKUP($B$37,'Ins 2016'!$A$6:$P$13,5,FALSE)</f>
        <v>0</v>
      </c>
      <c r="P42" s="94">
        <f t="shared" si="7"/>
        <v>0</v>
      </c>
      <c r="Q42" s="94"/>
      <c r="R42" s="149"/>
    </row>
    <row r="43" spans="1:18" hidden="1" outlineLevel="1" x14ac:dyDescent="0.25">
      <c r="A43" s="169"/>
      <c r="B43" s="31" t="s">
        <v>502</v>
      </c>
      <c r="C43" s="94"/>
      <c r="D43" s="94">
        <f>VLOOKUP($B$37,'Ins 2016'!$A$6:$P$13,5,FALSE)</f>
        <v>0</v>
      </c>
      <c r="E43" s="94">
        <f>VLOOKUP($B$37,'Ins 2016'!$A$6:$P$13,5,FALSE)</f>
        <v>0</v>
      </c>
      <c r="F43" s="94">
        <f>VLOOKUP($B$37,'Ins 2016'!$A$6:$P$13,5,FALSE)</f>
        <v>0</v>
      </c>
      <c r="G43" s="94">
        <f>VLOOKUP($B$37,'Ins 2016'!$A$6:$P$13,5,FALSE)</f>
        <v>0</v>
      </c>
      <c r="H43" s="94">
        <f>VLOOKUP($B$37,'Ins 2016'!$A$6:$P$13,5,FALSE)</f>
        <v>0</v>
      </c>
      <c r="I43" s="94">
        <f>VLOOKUP($B$37,'Ins 2016'!$A$6:$P$13,5,FALSE)</f>
        <v>0</v>
      </c>
      <c r="J43" s="94">
        <f>VLOOKUP($B$37,'Ins 2016'!$A$6:$P$13,5,FALSE)</f>
        <v>0</v>
      </c>
      <c r="K43" s="94">
        <f>VLOOKUP($B$37,'Ins 2016'!$A$6:$P$13,5,FALSE)</f>
        <v>0</v>
      </c>
      <c r="L43" s="94">
        <f>VLOOKUP($B$37,'Ins 2016'!$A$6:$P$13,5,FALSE)</f>
        <v>0</v>
      </c>
      <c r="M43" s="94">
        <f>VLOOKUP($B$37,'Ins 2016'!$A$6:$P$13,5,FALSE)</f>
        <v>0</v>
      </c>
      <c r="N43" s="94">
        <f>VLOOKUP($B$37,'Ins 2016'!$A$6:$P$13,5,FALSE)</f>
        <v>0</v>
      </c>
      <c r="O43" s="94">
        <f>VLOOKUP($B$37,'Ins 2016'!$A$6:$P$13,5,FALSE)</f>
        <v>0</v>
      </c>
      <c r="P43" s="94">
        <f t="shared" si="7"/>
        <v>0</v>
      </c>
      <c r="Q43" s="94"/>
      <c r="R43" s="149"/>
    </row>
    <row r="44" spans="1:18" hidden="1" outlineLevel="1" x14ac:dyDescent="0.25">
      <c r="A44" s="169"/>
      <c r="B44" s="31" t="s">
        <v>503</v>
      </c>
      <c r="C44" s="94"/>
      <c r="D44" s="94">
        <f>VLOOKUP($B$37,'Ins 2016'!$A$6:$P$13,5,FALSE)</f>
        <v>0</v>
      </c>
      <c r="E44" s="94">
        <f>VLOOKUP($B$37,'Ins 2016'!$A$6:$P$13,5,FALSE)</f>
        <v>0</v>
      </c>
      <c r="F44" s="94">
        <f>VLOOKUP($B$37,'Ins 2016'!$A$6:$P$13,5,FALSE)</f>
        <v>0</v>
      </c>
      <c r="G44" s="94">
        <f>VLOOKUP($B$37,'Ins 2016'!$A$6:$P$13,5,FALSE)</f>
        <v>0</v>
      </c>
      <c r="H44" s="94">
        <f>VLOOKUP($B$37,'Ins 2016'!$A$6:$P$13,5,FALSE)</f>
        <v>0</v>
      </c>
      <c r="I44" s="94">
        <f>VLOOKUP($B$37,'Ins 2016'!$A$6:$P$13,5,FALSE)</f>
        <v>0</v>
      </c>
      <c r="J44" s="94">
        <f>VLOOKUP($B$37,'Ins 2016'!$A$6:$P$13,5,FALSE)</f>
        <v>0</v>
      </c>
      <c r="K44" s="94">
        <f>VLOOKUP($B$37,'Ins 2016'!$A$6:$P$13,5,FALSE)</f>
        <v>0</v>
      </c>
      <c r="L44" s="94">
        <f>VLOOKUP($B$37,'Ins 2016'!$A$6:$P$13,5,FALSE)</f>
        <v>0</v>
      </c>
      <c r="M44" s="94">
        <f>VLOOKUP($B$37,'Ins 2016'!$A$6:$P$13,5,FALSE)</f>
        <v>0</v>
      </c>
      <c r="N44" s="94">
        <f>VLOOKUP($B$37,'Ins 2016'!$A$6:$P$13,5,FALSE)</f>
        <v>0</v>
      </c>
      <c r="O44" s="94">
        <f>VLOOKUP($B$37,'Ins 2016'!$A$6:$P$13,5,FALSE)</f>
        <v>0</v>
      </c>
      <c r="P44" s="94">
        <f t="shared" si="7"/>
        <v>0</v>
      </c>
      <c r="Q44" s="94"/>
      <c r="R44" s="149"/>
    </row>
    <row r="45" spans="1:18" hidden="1" outlineLevel="1" x14ac:dyDescent="0.25">
      <c r="A45" s="169"/>
      <c r="B45" s="31" t="s">
        <v>504</v>
      </c>
      <c r="C45" s="94"/>
      <c r="D45" s="94">
        <f>VLOOKUP($B$37,'Ins 2016'!$A$6:$P$13,5,FALSE)</f>
        <v>0</v>
      </c>
      <c r="E45" s="94">
        <f>VLOOKUP($B$37,'Ins 2016'!$A$6:$P$13,5,FALSE)</f>
        <v>0</v>
      </c>
      <c r="F45" s="94">
        <f>VLOOKUP($B$37,'Ins 2016'!$A$6:$P$13,5,FALSE)</f>
        <v>0</v>
      </c>
      <c r="G45" s="94">
        <f>VLOOKUP($B$37,'Ins 2016'!$A$6:$P$13,5,FALSE)</f>
        <v>0</v>
      </c>
      <c r="H45" s="94">
        <f>VLOOKUP($B$37,'Ins 2016'!$A$6:$P$13,5,FALSE)</f>
        <v>0</v>
      </c>
      <c r="I45" s="94">
        <f>VLOOKUP($B$37,'Ins 2016'!$A$6:$P$13,5,FALSE)</f>
        <v>0</v>
      </c>
      <c r="J45" s="94">
        <f>VLOOKUP($B$37,'Ins 2016'!$A$6:$P$13,5,FALSE)</f>
        <v>0</v>
      </c>
      <c r="K45" s="94">
        <f>VLOOKUP($B$37,'Ins 2016'!$A$6:$P$13,5,FALSE)</f>
        <v>0</v>
      </c>
      <c r="L45" s="94">
        <f>VLOOKUP($B$37,'Ins 2016'!$A$6:$P$13,5,FALSE)</f>
        <v>0</v>
      </c>
      <c r="M45" s="94">
        <f>VLOOKUP($B$37,'Ins 2016'!$A$6:$P$13,5,FALSE)</f>
        <v>0</v>
      </c>
      <c r="N45" s="94">
        <f>VLOOKUP($B$37,'Ins 2016'!$A$6:$P$13,5,FALSE)</f>
        <v>0</v>
      </c>
      <c r="O45" s="94">
        <f>VLOOKUP($B$37,'Ins 2016'!$A$6:$P$13,5,FALSE)</f>
        <v>0</v>
      </c>
      <c r="P45" s="94">
        <f t="shared" si="7"/>
        <v>0</v>
      </c>
      <c r="Q45" s="94"/>
      <c r="R45" s="149"/>
    </row>
    <row r="46" spans="1:18" collapsed="1" x14ac:dyDescent="0.25">
      <c r="A46" s="1" t="s">
        <v>19</v>
      </c>
      <c r="B46" s="5" t="s">
        <v>20</v>
      </c>
      <c r="C46" s="100">
        <f>SUM(C47:C55)</f>
        <v>0</v>
      </c>
      <c r="D46" s="100">
        <f>ROUNDDOWN(SUM(D47:D55),0)</f>
        <v>0</v>
      </c>
      <c r="E46" s="100">
        <f>ROUNDDOWN(SUM(E47:E55),0)</f>
        <v>0</v>
      </c>
      <c r="F46" s="100">
        <f>ROUNDDOWN(SUM(F47:F55),0)</f>
        <v>0</v>
      </c>
      <c r="G46" s="100">
        <f>ROUNDDOWN(SUM(G47:G55),0)</f>
        <v>0</v>
      </c>
      <c r="H46" s="100">
        <f>ROUNDDOWN(SUM(H47:H55),0)</f>
        <v>0</v>
      </c>
      <c r="I46" s="100">
        <f>ROUNDDOWN(SUM(I47:I55),0)</f>
        <v>0</v>
      </c>
      <c r="J46" s="100">
        <f>ROUNDDOWN(SUM(J47:J55),0)</f>
        <v>0</v>
      </c>
      <c r="K46" s="100">
        <f>ROUNDDOWN(SUM(K47:K55),0)</f>
        <v>0</v>
      </c>
      <c r="L46" s="100">
        <f>ROUNDDOWN(SUM(L47:L55),0)</f>
        <v>0</v>
      </c>
      <c r="M46" s="100">
        <f>ROUNDDOWN(SUM(M47:M55),0)</f>
        <v>0</v>
      </c>
      <c r="N46" s="100">
        <f>ROUNDDOWN(SUM(N47:N55),0)</f>
        <v>0</v>
      </c>
      <c r="O46" s="100">
        <f>ROUNDDOWN(SUM(O47:O55),0)</f>
        <v>0</v>
      </c>
      <c r="P46" s="100">
        <f>ROUND(SUM(P47:P55),0)</f>
        <v>0</v>
      </c>
      <c r="Q46" s="100">
        <f t="shared" si="2"/>
        <v>0</v>
      </c>
      <c r="R46" s="149" t="str">
        <f t="shared" si="3"/>
        <v/>
      </c>
    </row>
    <row r="47" spans="1:18" hidden="1" outlineLevel="1" x14ac:dyDescent="0.25">
      <c r="A47" s="1"/>
      <c r="B47" s="31" t="s">
        <v>496</v>
      </c>
      <c r="C47" s="94"/>
      <c r="D47" s="94">
        <f>VLOOKUP($B47,'RETaxes 2017'!$A$6:$Q$14,5,FALSE)</f>
        <v>0</v>
      </c>
      <c r="E47" s="94">
        <f>VLOOKUP($B47,'RETaxes 2017'!$A$6:$Q$14,6,FALSE)</f>
        <v>0</v>
      </c>
      <c r="F47" s="94">
        <f>VLOOKUP($B47,'RETaxes 2017'!$A$6:$Q$14,7,FALSE)</f>
        <v>0</v>
      </c>
      <c r="G47" s="94">
        <f>VLOOKUP($B47,'RETaxes 2017'!$A$6:$Q$14,8,FALSE)</f>
        <v>0</v>
      </c>
      <c r="H47" s="94">
        <f>VLOOKUP($B47,'RETaxes 2017'!$A$6:$Q$14,9,FALSE)</f>
        <v>0</v>
      </c>
      <c r="I47" s="94">
        <f>VLOOKUP($B47,'RETaxes 2017'!$A$6:$Q$14,10,FALSE)</f>
        <v>0</v>
      </c>
      <c r="J47" s="94">
        <f>VLOOKUP($B47,'RETaxes 2017'!$A$6:$Q$14,11,FALSE)</f>
        <v>0</v>
      </c>
      <c r="K47" s="94">
        <f>VLOOKUP($B47,'RETaxes 2017'!$A$6:$Q$14,12,FALSE)</f>
        <v>0</v>
      </c>
      <c r="L47" s="94">
        <f>VLOOKUP($B47,'RETaxes 2017'!$A$6:$Q$14,13,FALSE)</f>
        <v>0</v>
      </c>
      <c r="M47" s="94">
        <f>VLOOKUP($B47,'RETaxes 2017'!$A$6:$Q$14,14,FALSE)</f>
        <v>0</v>
      </c>
      <c r="N47" s="94">
        <f>VLOOKUP($B47,'RETaxes 2017'!$A$6:$Q$14,15,FALSE)</f>
        <v>0</v>
      </c>
      <c r="O47" s="94">
        <f>VLOOKUP($B47,'RETaxes 2017'!$A$6:$Q$14,16,FALSE)</f>
        <v>0</v>
      </c>
      <c r="P47" s="94">
        <f t="shared" ref="P47:P55" si="9">SUM(D47:O47)</f>
        <v>0</v>
      </c>
      <c r="Q47" s="94" t="str">
        <f t="shared" si="2"/>
        <v/>
      </c>
      <c r="R47" s="149" t="str">
        <f t="shared" si="3"/>
        <v/>
      </c>
    </row>
    <row r="48" spans="1:18" hidden="1" outlineLevel="1" x14ac:dyDescent="0.25">
      <c r="A48" s="7"/>
      <c r="B48" s="31" t="s">
        <v>497</v>
      </c>
      <c r="C48" s="94"/>
      <c r="D48" s="94">
        <f>VLOOKUP($B48,'RETaxes 2017'!$A$6:$Q$14,5,FALSE)</f>
        <v>0</v>
      </c>
      <c r="E48" s="94">
        <f>VLOOKUP($B48,'RETaxes 2017'!$A$6:$Q$14,6,FALSE)</f>
        <v>0</v>
      </c>
      <c r="F48" s="94">
        <f>VLOOKUP($B48,'RETaxes 2017'!$A$6:$Q$14,7,FALSE)</f>
        <v>0</v>
      </c>
      <c r="G48" s="94">
        <f>VLOOKUP($B48,'RETaxes 2017'!$A$6:$Q$14,8,FALSE)</f>
        <v>0</v>
      </c>
      <c r="H48" s="94">
        <f>VLOOKUP($B48,'RETaxes 2017'!$A$6:$Q$14,9,FALSE)</f>
        <v>0</v>
      </c>
      <c r="I48" s="94">
        <f>VLOOKUP($B48,'RETaxes 2017'!$A$6:$Q$14,10,FALSE)</f>
        <v>0</v>
      </c>
      <c r="J48" s="94">
        <f>VLOOKUP($B48,'RETaxes 2017'!$A$6:$Q$14,11,FALSE)</f>
        <v>0</v>
      </c>
      <c r="K48" s="94">
        <f>VLOOKUP($B48,'RETaxes 2017'!$A$6:$Q$14,12,FALSE)</f>
        <v>0</v>
      </c>
      <c r="L48" s="94">
        <f>VLOOKUP($B48,'RETaxes 2017'!$A$6:$Q$14,13,FALSE)</f>
        <v>0</v>
      </c>
      <c r="M48" s="94">
        <f>VLOOKUP($B48,'RETaxes 2017'!$A$6:$Q$14,14,FALSE)</f>
        <v>0</v>
      </c>
      <c r="N48" s="94">
        <f>VLOOKUP($B48,'RETaxes 2017'!$A$6:$Q$14,15,FALSE)</f>
        <v>0</v>
      </c>
      <c r="O48" s="94">
        <f>VLOOKUP($B48,'RETaxes 2017'!$A$6:$Q$14,16,FALSE)</f>
        <v>0</v>
      </c>
      <c r="P48" s="94">
        <f t="shared" si="9"/>
        <v>0</v>
      </c>
      <c r="Q48" s="94" t="str">
        <f t="shared" si="2"/>
        <v/>
      </c>
      <c r="R48" s="149" t="str">
        <f t="shared" si="3"/>
        <v/>
      </c>
    </row>
    <row r="49" spans="1:18" hidden="1" outlineLevel="1" x14ac:dyDescent="0.25">
      <c r="A49" s="7"/>
      <c r="B49" s="31" t="s">
        <v>498</v>
      </c>
      <c r="C49" s="94"/>
      <c r="D49" s="94">
        <f>VLOOKUP($B49,'RETaxes 2017'!$A$6:$Q$14,5,FALSE)</f>
        <v>0</v>
      </c>
      <c r="E49" s="94">
        <f>VLOOKUP($B49,'RETaxes 2017'!$A$6:$Q$14,6,FALSE)</f>
        <v>0</v>
      </c>
      <c r="F49" s="94">
        <f>VLOOKUP($B49,'RETaxes 2017'!$A$6:$Q$14,7,FALSE)</f>
        <v>0</v>
      </c>
      <c r="G49" s="94">
        <f>VLOOKUP($B49,'RETaxes 2017'!$A$6:$Q$14,8,FALSE)</f>
        <v>0</v>
      </c>
      <c r="H49" s="94">
        <f>VLOOKUP($B49,'RETaxes 2017'!$A$6:$Q$14,9,FALSE)</f>
        <v>0</v>
      </c>
      <c r="I49" s="94">
        <f>VLOOKUP($B49,'RETaxes 2017'!$A$6:$Q$14,10,FALSE)</f>
        <v>0</v>
      </c>
      <c r="J49" s="94">
        <f>VLOOKUP($B49,'RETaxes 2017'!$A$6:$Q$14,11,FALSE)</f>
        <v>0</v>
      </c>
      <c r="K49" s="94">
        <f>VLOOKUP($B49,'RETaxes 2017'!$A$6:$Q$14,12,FALSE)</f>
        <v>0</v>
      </c>
      <c r="L49" s="94">
        <f>VLOOKUP($B49,'RETaxes 2017'!$A$6:$Q$14,13,FALSE)</f>
        <v>0</v>
      </c>
      <c r="M49" s="94">
        <f>VLOOKUP($B49,'RETaxes 2017'!$A$6:$Q$14,14,FALSE)</f>
        <v>0</v>
      </c>
      <c r="N49" s="94">
        <f>VLOOKUP($B49,'RETaxes 2017'!$A$6:$Q$14,15,FALSE)</f>
        <v>0</v>
      </c>
      <c r="O49" s="94">
        <f>VLOOKUP($B49,'RETaxes 2017'!$A$6:$Q$14,16,FALSE)</f>
        <v>0</v>
      </c>
      <c r="P49" s="94">
        <f t="shared" si="9"/>
        <v>0</v>
      </c>
      <c r="Q49" s="94" t="str">
        <f t="shared" si="2"/>
        <v/>
      </c>
      <c r="R49" s="149" t="str">
        <f t="shared" si="3"/>
        <v/>
      </c>
    </row>
    <row r="50" spans="1:18" hidden="1" outlineLevel="1" x14ac:dyDescent="0.25">
      <c r="A50" s="169"/>
      <c r="B50" s="31" t="s">
        <v>499</v>
      </c>
      <c r="C50" s="94"/>
      <c r="D50" s="94">
        <f>VLOOKUP($B50,'RETaxes 2017'!$A$6:$Q$14,5,FALSE)</f>
        <v>0</v>
      </c>
      <c r="E50" s="94">
        <f>VLOOKUP($B50,'RETaxes 2017'!$A$6:$Q$14,6,FALSE)</f>
        <v>0</v>
      </c>
      <c r="F50" s="94">
        <f>VLOOKUP($B50,'RETaxes 2017'!$A$6:$Q$14,7,FALSE)</f>
        <v>0</v>
      </c>
      <c r="G50" s="94">
        <f>VLOOKUP($B50,'RETaxes 2017'!$A$6:$Q$14,8,FALSE)</f>
        <v>0</v>
      </c>
      <c r="H50" s="94">
        <f>VLOOKUP($B50,'RETaxes 2017'!$A$6:$Q$14,9,FALSE)</f>
        <v>0</v>
      </c>
      <c r="I50" s="94">
        <f>VLOOKUP($B50,'RETaxes 2017'!$A$6:$Q$14,10,FALSE)</f>
        <v>0</v>
      </c>
      <c r="J50" s="94">
        <f>VLOOKUP($B50,'RETaxes 2017'!$A$6:$Q$14,11,FALSE)</f>
        <v>0</v>
      </c>
      <c r="K50" s="94">
        <f>VLOOKUP($B50,'RETaxes 2017'!$A$6:$Q$14,12,FALSE)</f>
        <v>0</v>
      </c>
      <c r="L50" s="94">
        <f>VLOOKUP($B50,'RETaxes 2017'!$A$6:$Q$14,13,FALSE)</f>
        <v>0</v>
      </c>
      <c r="M50" s="94">
        <f>VLOOKUP($B50,'RETaxes 2017'!$A$6:$Q$14,14,FALSE)</f>
        <v>0</v>
      </c>
      <c r="N50" s="94">
        <f>VLOOKUP($B50,'RETaxes 2017'!$A$6:$Q$14,15,FALSE)</f>
        <v>0</v>
      </c>
      <c r="O50" s="94">
        <f>VLOOKUP($B50,'RETaxes 2017'!$A$6:$Q$14,16,FALSE)</f>
        <v>0</v>
      </c>
      <c r="P50" s="94">
        <f t="shared" si="9"/>
        <v>0</v>
      </c>
      <c r="Q50" s="94"/>
      <c r="R50" s="149"/>
    </row>
    <row r="51" spans="1:18" hidden="1" outlineLevel="1" x14ac:dyDescent="0.25">
      <c r="A51" s="7"/>
      <c r="B51" s="31" t="s">
        <v>500</v>
      </c>
      <c r="C51" s="94"/>
      <c r="D51" s="94">
        <f>VLOOKUP($B51,'RETaxes 2017'!$A$6:$Q$14,5,FALSE)</f>
        <v>0</v>
      </c>
      <c r="E51" s="94">
        <f>VLOOKUP($B51,'RETaxes 2017'!$A$6:$Q$14,6,FALSE)</f>
        <v>0</v>
      </c>
      <c r="F51" s="94">
        <f>VLOOKUP($B51,'RETaxes 2017'!$A$6:$Q$14,7,FALSE)</f>
        <v>0</v>
      </c>
      <c r="G51" s="94">
        <f>VLOOKUP($B51,'RETaxes 2017'!$A$6:$Q$14,8,FALSE)</f>
        <v>0</v>
      </c>
      <c r="H51" s="94">
        <f>VLOOKUP($B51,'RETaxes 2017'!$A$6:$Q$14,9,FALSE)</f>
        <v>0</v>
      </c>
      <c r="I51" s="94">
        <f>VLOOKUP($B51,'RETaxes 2017'!$A$6:$Q$14,10,FALSE)</f>
        <v>0</v>
      </c>
      <c r="J51" s="94">
        <f>VLOOKUP($B51,'RETaxes 2017'!$A$6:$Q$14,11,FALSE)</f>
        <v>0</v>
      </c>
      <c r="K51" s="94">
        <f>VLOOKUP($B51,'RETaxes 2017'!$A$6:$Q$14,12,FALSE)</f>
        <v>0</v>
      </c>
      <c r="L51" s="94">
        <f>VLOOKUP($B51,'RETaxes 2017'!$A$6:$Q$14,13,FALSE)</f>
        <v>0</v>
      </c>
      <c r="M51" s="94">
        <f>VLOOKUP($B51,'RETaxes 2017'!$A$6:$Q$14,14,FALSE)</f>
        <v>0</v>
      </c>
      <c r="N51" s="94">
        <f>VLOOKUP($B51,'RETaxes 2017'!$A$6:$Q$14,15,FALSE)</f>
        <v>0</v>
      </c>
      <c r="O51" s="94">
        <f>VLOOKUP($B51,'RETaxes 2017'!$A$6:$Q$14,16,FALSE)</f>
        <v>0</v>
      </c>
      <c r="P51" s="94">
        <f t="shared" si="9"/>
        <v>0</v>
      </c>
      <c r="Q51" s="94" t="str">
        <f t="shared" si="2"/>
        <v/>
      </c>
      <c r="R51" s="149" t="str">
        <f t="shared" si="3"/>
        <v/>
      </c>
    </row>
    <row r="52" spans="1:18" hidden="1" outlineLevel="1" x14ac:dyDescent="0.25">
      <c r="A52" s="7"/>
      <c r="B52" s="31" t="s">
        <v>501</v>
      </c>
      <c r="C52" s="94"/>
      <c r="D52" s="94">
        <f>VLOOKUP($B52,'RETaxes 2017'!$A$6:$Q$14,5,FALSE)</f>
        <v>0</v>
      </c>
      <c r="E52" s="94">
        <f>VLOOKUP($B52,'RETaxes 2017'!$A$6:$Q$14,6,FALSE)</f>
        <v>0</v>
      </c>
      <c r="F52" s="94">
        <f>VLOOKUP($B52,'RETaxes 2017'!$A$6:$Q$14,7,FALSE)</f>
        <v>0</v>
      </c>
      <c r="G52" s="94">
        <f>VLOOKUP($B52,'RETaxes 2017'!$A$6:$Q$14,8,FALSE)</f>
        <v>0</v>
      </c>
      <c r="H52" s="94">
        <f>VLOOKUP($B52,'RETaxes 2017'!$A$6:$Q$14,9,FALSE)</f>
        <v>0</v>
      </c>
      <c r="I52" s="94">
        <f>VLOOKUP($B52,'RETaxes 2017'!$A$6:$Q$14,10,FALSE)</f>
        <v>0</v>
      </c>
      <c r="J52" s="94">
        <f>VLOOKUP($B52,'RETaxes 2017'!$A$6:$Q$14,11,FALSE)</f>
        <v>0</v>
      </c>
      <c r="K52" s="94">
        <f>VLOOKUP($B52,'RETaxes 2017'!$A$6:$Q$14,12,FALSE)</f>
        <v>0</v>
      </c>
      <c r="L52" s="94">
        <f>VLOOKUP($B52,'RETaxes 2017'!$A$6:$Q$14,13,FALSE)</f>
        <v>0</v>
      </c>
      <c r="M52" s="94">
        <f>VLOOKUP($B52,'RETaxes 2017'!$A$6:$Q$14,14,FALSE)</f>
        <v>0</v>
      </c>
      <c r="N52" s="94">
        <f>VLOOKUP($B52,'RETaxes 2017'!$A$6:$Q$14,15,FALSE)</f>
        <v>0</v>
      </c>
      <c r="O52" s="94">
        <f>VLOOKUP($B52,'RETaxes 2017'!$A$6:$Q$14,16,FALSE)</f>
        <v>0</v>
      </c>
      <c r="P52" s="94">
        <f t="shared" si="9"/>
        <v>0</v>
      </c>
      <c r="Q52" s="94" t="str">
        <f t="shared" si="2"/>
        <v/>
      </c>
      <c r="R52" s="149" t="str">
        <f t="shared" si="3"/>
        <v/>
      </c>
    </row>
    <row r="53" spans="1:18" hidden="1" outlineLevel="1" x14ac:dyDescent="0.25">
      <c r="A53" s="7"/>
      <c r="B53" s="31" t="s">
        <v>502</v>
      </c>
      <c r="C53" s="94"/>
      <c r="D53" s="94">
        <f>VLOOKUP($B53,'RETaxes 2017'!$A$6:$Q$14,5,FALSE)</f>
        <v>0</v>
      </c>
      <c r="E53" s="94">
        <f>VLOOKUP($B53,'RETaxes 2017'!$A$6:$Q$14,6,FALSE)</f>
        <v>0</v>
      </c>
      <c r="F53" s="94">
        <f>VLOOKUP($B53,'RETaxes 2017'!$A$6:$Q$14,7,FALSE)</f>
        <v>0</v>
      </c>
      <c r="G53" s="94">
        <f>VLOOKUP($B53,'RETaxes 2017'!$A$6:$Q$14,8,FALSE)</f>
        <v>0</v>
      </c>
      <c r="H53" s="94">
        <f>VLOOKUP($B53,'RETaxes 2017'!$A$6:$Q$14,9,FALSE)</f>
        <v>0</v>
      </c>
      <c r="I53" s="94">
        <f>VLOOKUP($B53,'RETaxes 2017'!$A$6:$Q$14,10,FALSE)</f>
        <v>0</v>
      </c>
      <c r="J53" s="94">
        <f>VLOOKUP($B53,'RETaxes 2017'!$A$6:$Q$14,11,FALSE)</f>
        <v>0</v>
      </c>
      <c r="K53" s="94">
        <f>VLOOKUP($B53,'RETaxes 2017'!$A$6:$Q$14,12,FALSE)</f>
        <v>0</v>
      </c>
      <c r="L53" s="94">
        <f>VLOOKUP($B53,'RETaxes 2017'!$A$6:$Q$14,13,FALSE)</f>
        <v>0</v>
      </c>
      <c r="M53" s="94">
        <f>VLOOKUP($B53,'RETaxes 2017'!$A$6:$Q$14,14,FALSE)</f>
        <v>0</v>
      </c>
      <c r="N53" s="94">
        <f>VLOOKUP($B53,'RETaxes 2017'!$A$6:$Q$14,15,FALSE)</f>
        <v>0</v>
      </c>
      <c r="O53" s="94">
        <f>VLOOKUP($B53,'RETaxes 2017'!$A$6:$Q$14,16,FALSE)</f>
        <v>0</v>
      </c>
      <c r="P53" s="94">
        <f t="shared" si="9"/>
        <v>0</v>
      </c>
      <c r="Q53" s="94" t="str">
        <f t="shared" si="2"/>
        <v/>
      </c>
      <c r="R53" s="149" t="str">
        <f t="shared" si="3"/>
        <v/>
      </c>
    </row>
    <row r="54" spans="1:18" hidden="1" outlineLevel="1" x14ac:dyDescent="0.25">
      <c r="A54" s="7"/>
      <c r="B54" s="31" t="s">
        <v>503</v>
      </c>
      <c r="C54" s="94"/>
      <c r="D54" s="94">
        <f>VLOOKUP($B54,'RETaxes 2017'!$A$6:$Q$14,5,FALSE)</f>
        <v>0</v>
      </c>
      <c r="E54" s="94">
        <f>VLOOKUP($B54,'RETaxes 2017'!$A$6:$Q$14,6,FALSE)</f>
        <v>0</v>
      </c>
      <c r="F54" s="94">
        <f>VLOOKUP($B54,'RETaxes 2017'!$A$6:$Q$14,7,FALSE)</f>
        <v>0</v>
      </c>
      <c r="G54" s="94">
        <f>VLOOKUP($B54,'RETaxes 2017'!$A$6:$Q$14,8,FALSE)</f>
        <v>0</v>
      </c>
      <c r="H54" s="94">
        <f>VLOOKUP($B54,'RETaxes 2017'!$A$6:$Q$14,9,FALSE)</f>
        <v>0</v>
      </c>
      <c r="I54" s="94">
        <f>VLOOKUP($B54,'RETaxes 2017'!$A$6:$Q$14,10,FALSE)</f>
        <v>0</v>
      </c>
      <c r="J54" s="94">
        <f>VLOOKUP($B54,'RETaxes 2017'!$A$6:$Q$14,11,FALSE)</f>
        <v>0</v>
      </c>
      <c r="K54" s="94">
        <f>VLOOKUP($B54,'RETaxes 2017'!$A$6:$Q$14,12,FALSE)</f>
        <v>0</v>
      </c>
      <c r="L54" s="94">
        <f>VLOOKUP($B54,'RETaxes 2017'!$A$6:$Q$14,13,FALSE)</f>
        <v>0</v>
      </c>
      <c r="M54" s="94">
        <f>VLOOKUP($B54,'RETaxes 2017'!$A$6:$Q$14,14,FALSE)</f>
        <v>0</v>
      </c>
      <c r="N54" s="94">
        <f>VLOOKUP($B54,'RETaxes 2017'!$A$6:$Q$14,15,FALSE)</f>
        <v>0</v>
      </c>
      <c r="O54" s="94">
        <f>VLOOKUP($B54,'RETaxes 2017'!$A$6:$Q$14,16,FALSE)</f>
        <v>0</v>
      </c>
      <c r="P54" s="94">
        <f t="shared" si="9"/>
        <v>0</v>
      </c>
      <c r="Q54" s="94" t="str">
        <f t="shared" si="2"/>
        <v/>
      </c>
      <c r="R54" s="149" t="str">
        <f t="shared" si="3"/>
        <v/>
      </c>
    </row>
    <row r="55" spans="1:18" hidden="1" outlineLevel="1" x14ac:dyDescent="0.25">
      <c r="A55" s="7"/>
      <c r="B55" s="31" t="s">
        <v>504</v>
      </c>
      <c r="C55" s="94"/>
      <c r="D55" s="94">
        <f>VLOOKUP($B55,'RETaxes 2017'!$A$6:$Q$14,5,FALSE)</f>
        <v>0</v>
      </c>
      <c r="E55" s="94">
        <f>VLOOKUP($B55,'RETaxes 2017'!$A$6:$Q$14,6,FALSE)</f>
        <v>0</v>
      </c>
      <c r="F55" s="94">
        <f>VLOOKUP($B55,'RETaxes 2017'!$A$6:$Q$14,7,FALSE)</f>
        <v>0</v>
      </c>
      <c r="G55" s="94">
        <f>VLOOKUP($B55,'RETaxes 2017'!$A$6:$Q$14,8,FALSE)</f>
        <v>0</v>
      </c>
      <c r="H55" s="94">
        <f>VLOOKUP($B55,'RETaxes 2017'!$A$6:$Q$14,9,FALSE)</f>
        <v>0</v>
      </c>
      <c r="I55" s="94">
        <f>VLOOKUP($B55,'RETaxes 2017'!$A$6:$Q$14,10,FALSE)</f>
        <v>0</v>
      </c>
      <c r="J55" s="94">
        <f>VLOOKUP($B55,'RETaxes 2017'!$A$6:$Q$14,11,FALSE)</f>
        <v>0</v>
      </c>
      <c r="K55" s="94">
        <f>VLOOKUP($B55,'RETaxes 2017'!$A$6:$Q$14,12,FALSE)</f>
        <v>0</v>
      </c>
      <c r="L55" s="94">
        <f>VLOOKUP($B55,'RETaxes 2017'!$A$6:$Q$14,13,FALSE)</f>
        <v>0</v>
      </c>
      <c r="M55" s="94">
        <f>VLOOKUP($B55,'RETaxes 2017'!$A$6:$Q$14,14,FALSE)</f>
        <v>0</v>
      </c>
      <c r="N55" s="94">
        <f>VLOOKUP($B55,'RETaxes 2017'!$A$6:$Q$14,15,FALSE)</f>
        <v>0</v>
      </c>
      <c r="O55" s="94">
        <f>VLOOKUP($B55,'RETaxes 2017'!$A$6:$Q$14,16,FALSE)</f>
        <v>0</v>
      </c>
      <c r="P55" s="94">
        <f t="shared" si="9"/>
        <v>0</v>
      </c>
      <c r="Q55" s="94" t="str">
        <f t="shared" si="2"/>
        <v/>
      </c>
      <c r="R55" s="149" t="str">
        <f t="shared" si="3"/>
        <v/>
      </c>
    </row>
    <row r="56" spans="1:18" collapsed="1" x14ac:dyDescent="0.25">
      <c r="A56" s="1" t="s">
        <v>21</v>
      </c>
      <c r="B56" s="5" t="s">
        <v>22</v>
      </c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>
        <v>0</v>
      </c>
      <c r="Q56" s="94" t="str">
        <f t="shared" si="2"/>
        <v/>
      </c>
      <c r="R56" s="149" t="str">
        <f t="shared" si="3"/>
        <v/>
      </c>
    </row>
    <row r="57" spans="1:18" x14ac:dyDescent="0.25">
      <c r="A57" s="1" t="s">
        <v>23</v>
      </c>
      <c r="B57" s="5" t="s">
        <v>24</v>
      </c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>
        <v>0</v>
      </c>
      <c r="Q57" s="94" t="str">
        <f t="shared" si="2"/>
        <v/>
      </c>
      <c r="R57" s="149" t="str">
        <f t="shared" si="3"/>
        <v/>
      </c>
    </row>
    <row r="58" spans="1:18" x14ac:dyDescent="0.25">
      <c r="A58" s="1" t="s">
        <v>25</v>
      </c>
      <c r="B58" s="5" t="s">
        <v>26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>
        <v>0</v>
      </c>
      <c r="Q58" s="94" t="str">
        <f t="shared" si="2"/>
        <v/>
      </c>
      <c r="R58" s="149" t="str">
        <f t="shared" si="3"/>
        <v/>
      </c>
    </row>
    <row r="59" spans="1:18" ht="15.75" thickBot="1" x14ac:dyDescent="0.3">
      <c r="A59" s="1" t="s">
        <v>27</v>
      </c>
      <c r="B59" s="5" t="s">
        <v>28</v>
      </c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>
        <v>0</v>
      </c>
      <c r="Q59" s="94" t="str">
        <f t="shared" si="2"/>
        <v/>
      </c>
      <c r="R59" s="149" t="str">
        <f t="shared" si="3"/>
        <v/>
      </c>
    </row>
    <row r="60" spans="1:18" s="87" customFormat="1" x14ac:dyDescent="0.25">
      <c r="A60" s="6" t="s">
        <v>29</v>
      </c>
      <c r="B60" s="3" t="s">
        <v>30</v>
      </c>
      <c r="C60" s="96">
        <f>SUM(C56:C59,C46,C36,C26,C25)</f>
        <v>119905</v>
      </c>
      <c r="D60" s="96">
        <f>SUM(D56:D59,D46,D36,D26,D25)</f>
        <v>11985</v>
      </c>
      <c r="E60" s="96">
        <f>SUM(E56:E59,E46,E36,E26,E25)</f>
        <v>11985</v>
      </c>
      <c r="F60" s="96">
        <f>SUM(F56:F59,F46,F36,F26,F25)</f>
        <v>11985</v>
      </c>
      <c r="G60" s="96">
        <f>SUM(G56:G59,G46,G36,G26,G25)</f>
        <v>11985</v>
      </c>
      <c r="H60" s="96">
        <f>SUM(H56:H59,H46,H36,H26,H25)</f>
        <v>11985</v>
      </c>
      <c r="I60" s="96">
        <f>SUM(I56:I59,I46,I36,I26,I25)</f>
        <v>11985</v>
      </c>
      <c r="J60" s="96">
        <f>SUM(J56:J59,J46,J36,J26,J25)</f>
        <v>11985</v>
      </c>
      <c r="K60" s="96">
        <f>SUM(K56:K59,K46,K36,K26,K25)</f>
        <v>11985</v>
      </c>
      <c r="L60" s="96">
        <f>SUM(L56:L59,L46,L36,L26,L25)</f>
        <v>11985</v>
      </c>
      <c r="M60" s="96">
        <f>SUM(M56:M59,M46,M36,M26,M25)</f>
        <v>11985</v>
      </c>
      <c r="N60" s="96">
        <f>SUM(N56:N59,N46,N36,N26,N25)</f>
        <v>11985</v>
      </c>
      <c r="O60" s="96">
        <f>SUM(O56:O59,O46,O36,O26,O25)</f>
        <v>11985</v>
      </c>
      <c r="P60" s="96">
        <f>SUM(P56:P59,P46,P36,P26,P25)</f>
        <v>143815</v>
      </c>
      <c r="Q60" s="96">
        <f t="shared" si="2"/>
        <v>23910</v>
      </c>
      <c r="R60" s="149">
        <f t="shared" si="3"/>
        <v>0.1994078645594429</v>
      </c>
    </row>
    <row r="61" spans="1:18" x14ac:dyDescent="0.25">
      <c r="A61" s="1"/>
      <c r="B61" s="5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 t="str">
        <f t="shared" si="2"/>
        <v/>
      </c>
      <c r="R61" s="149" t="str">
        <f t="shared" si="3"/>
        <v/>
      </c>
    </row>
    <row r="62" spans="1:18" x14ac:dyDescent="0.25">
      <c r="A62" s="1" t="s">
        <v>31</v>
      </c>
      <c r="B62" s="5" t="s">
        <v>32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 t="str">
        <f t="shared" si="2"/>
        <v/>
      </c>
      <c r="R62" s="149" t="str">
        <f t="shared" si="3"/>
        <v/>
      </c>
    </row>
    <row r="63" spans="1:18" x14ac:dyDescent="0.25">
      <c r="A63" s="1" t="s">
        <v>33</v>
      </c>
      <c r="B63" s="5" t="s">
        <v>34</v>
      </c>
      <c r="C63" s="94">
        <v>0</v>
      </c>
      <c r="D63" s="94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f>SUM(D63:O63)</f>
        <v>0</v>
      </c>
      <c r="Q63" s="94">
        <f t="shared" si="2"/>
        <v>0</v>
      </c>
      <c r="R63" s="149" t="str">
        <f t="shared" si="3"/>
        <v/>
      </c>
    </row>
    <row r="64" spans="1:18" x14ac:dyDescent="0.25">
      <c r="A64" s="1" t="s">
        <v>35</v>
      </c>
      <c r="B64" s="5" t="s">
        <v>36</v>
      </c>
      <c r="C64" s="94">
        <v>0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f>SUM(D64:O64)</f>
        <v>0</v>
      </c>
      <c r="Q64" s="94">
        <f t="shared" si="2"/>
        <v>0</v>
      </c>
      <c r="R64" s="149" t="str">
        <f t="shared" si="3"/>
        <v/>
      </c>
    </row>
    <row r="65" spans="1:18" x14ac:dyDescent="0.25">
      <c r="A65" s="1"/>
      <c r="B65" s="5" t="s">
        <v>372</v>
      </c>
      <c r="C65" s="94">
        <v>0</v>
      </c>
      <c r="D65" s="94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f>SUM(D65:O65)</f>
        <v>0</v>
      </c>
      <c r="Q65" s="94">
        <f t="shared" si="2"/>
        <v>0</v>
      </c>
      <c r="R65" s="149" t="str">
        <f t="shared" si="3"/>
        <v/>
      </c>
    </row>
    <row r="66" spans="1:18" x14ac:dyDescent="0.25">
      <c r="A66" s="1"/>
      <c r="B66" s="5" t="s">
        <v>371</v>
      </c>
      <c r="C66" s="94">
        <v>0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f t="shared" ref="Q66:Q135" si="10">IF(C66&lt;&gt;"",P66-C66,"")</f>
        <v>0</v>
      </c>
      <c r="R66" s="149" t="str">
        <f t="shared" ref="R66:R131" si="11">IF(C66&lt;&gt;0,Q66/C66,"")</f>
        <v/>
      </c>
    </row>
    <row r="67" spans="1:18" ht="15.75" thickBot="1" x14ac:dyDescent="0.3">
      <c r="A67" s="1"/>
      <c r="B67" s="5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 t="str">
        <f t="shared" si="10"/>
        <v/>
      </c>
      <c r="R67" s="149" t="str">
        <f t="shared" si="11"/>
        <v/>
      </c>
    </row>
    <row r="68" spans="1:18" s="87" customFormat="1" x14ac:dyDescent="0.25">
      <c r="A68" s="6" t="s">
        <v>37</v>
      </c>
      <c r="B68" s="3" t="s">
        <v>38</v>
      </c>
      <c r="C68" s="96">
        <f t="shared" ref="C68:O68" si="12">SUM(C63:C67)</f>
        <v>0</v>
      </c>
      <c r="D68" s="96">
        <f t="shared" si="12"/>
        <v>0</v>
      </c>
      <c r="E68" s="96">
        <f t="shared" si="12"/>
        <v>0</v>
      </c>
      <c r="F68" s="96">
        <f t="shared" si="12"/>
        <v>0</v>
      </c>
      <c r="G68" s="96">
        <f t="shared" si="12"/>
        <v>0</v>
      </c>
      <c r="H68" s="96">
        <f t="shared" si="12"/>
        <v>0</v>
      </c>
      <c r="I68" s="96">
        <f t="shared" si="12"/>
        <v>0</v>
      </c>
      <c r="J68" s="96">
        <f t="shared" si="12"/>
        <v>0</v>
      </c>
      <c r="K68" s="96">
        <f t="shared" si="12"/>
        <v>0</v>
      </c>
      <c r="L68" s="96">
        <f t="shared" si="12"/>
        <v>0</v>
      </c>
      <c r="M68" s="96">
        <f t="shared" si="12"/>
        <v>0</v>
      </c>
      <c r="N68" s="96">
        <f t="shared" si="12"/>
        <v>0</v>
      </c>
      <c r="O68" s="96">
        <f t="shared" si="12"/>
        <v>0</v>
      </c>
      <c r="P68" s="96">
        <f>SUM(P63:P67)</f>
        <v>0</v>
      </c>
      <c r="Q68" s="96">
        <f t="shared" si="10"/>
        <v>0</v>
      </c>
      <c r="R68" s="149" t="str">
        <f t="shared" si="11"/>
        <v/>
      </c>
    </row>
    <row r="69" spans="1:18" ht="15.75" thickBot="1" x14ac:dyDescent="0.3">
      <c r="A69" s="1"/>
      <c r="B69" s="5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 t="str">
        <f t="shared" si="10"/>
        <v/>
      </c>
      <c r="R69" s="149" t="str">
        <f t="shared" si="11"/>
        <v/>
      </c>
    </row>
    <row r="70" spans="1:18" s="87" customFormat="1" x14ac:dyDescent="0.25">
      <c r="A70" s="6" t="s">
        <v>39</v>
      </c>
      <c r="B70" s="3" t="s">
        <v>40</v>
      </c>
      <c r="C70" s="96">
        <f>SUM(C68,C60,C22)</f>
        <v>585215</v>
      </c>
      <c r="D70" s="96">
        <f>SUM(D68,D60,D22)</f>
        <v>50849.07</v>
      </c>
      <c r="E70" s="96">
        <f>SUM(E68,E60,E22)</f>
        <v>51492.11</v>
      </c>
      <c r="F70" s="96">
        <f>SUM(F68,F60,F22)</f>
        <v>51625.96</v>
      </c>
      <c r="G70" s="96">
        <f>SUM(G68,G60,G22)</f>
        <v>51625.96</v>
      </c>
      <c r="H70" s="96">
        <f>SUM(H68,H60,H22)</f>
        <v>51734.11</v>
      </c>
      <c r="I70" s="96">
        <f>SUM(I68,I60,I22)</f>
        <v>51734.11</v>
      </c>
      <c r="J70" s="96">
        <f>SUM(J68,J60,J22)</f>
        <v>51734.11</v>
      </c>
      <c r="K70" s="96">
        <f>SUM(K68,K60,K22)</f>
        <v>51734.11</v>
      </c>
      <c r="L70" s="96">
        <f>SUM(L68,L60,L22)</f>
        <v>51781.01</v>
      </c>
      <c r="M70" s="96">
        <f>SUM(M68,M60,M22)</f>
        <v>51881.79</v>
      </c>
      <c r="N70" s="96">
        <f>SUM(N68,N60,N22)</f>
        <v>51881.79</v>
      </c>
      <c r="O70" s="96">
        <f>SUM(O68,O60,O22)</f>
        <v>51881.79</v>
      </c>
      <c r="P70" s="96">
        <f>SUM(P68,P60,P22)</f>
        <v>619950.92000000004</v>
      </c>
      <c r="Q70" s="96">
        <f t="shared" si="10"/>
        <v>34735.920000000042</v>
      </c>
      <c r="R70" s="149">
        <f t="shared" si="11"/>
        <v>5.9355826491118722E-2</v>
      </c>
    </row>
    <row r="71" spans="1:18" x14ac:dyDescent="0.25">
      <c r="A71" s="1"/>
      <c r="B71" s="5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 t="str">
        <f t="shared" si="10"/>
        <v/>
      </c>
      <c r="R71" s="149" t="str">
        <f t="shared" si="11"/>
        <v/>
      </c>
    </row>
    <row r="72" spans="1:18" x14ac:dyDescent="0.25">
      <c r="A72" s="1" t="s">
        <v>41</v>
      </c>
      <c r="B72" s="5" t="s">
        <v>42</v>
      </c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 t="str">
        <f t="shared" si="10"/>
        <v/>
      </c>
      <c r="R72" s="149" t="str">
        <f t="shared" si="11"/>
        <v/>
      </c>
    </row>
    <row r="73" spans="1:18" x14ac:dyDescent="0.25">
      <c r="A73" s="1" t="s">
        <v>43</v>
      </c>
      <c r="B73" s="5" t="s">
        <v>44</v>
      </c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 t="str">
        <f t="shared" si="10"/>
        <v/>
      </c>
      <c r="R73" s="149" t="str">
        <f t="shared" si="11"/>
        <v/>
      </c>
    </row>
    <row r="74" spans="1:18" x14ac:dyDescent="0.25">
      <c r="A74" s="1" t="s">
        <v>489</v>
      </c>
      <c r="B74" s="5" t="s">
        <v>490</v>
      </c>
      <c r="C74" s="95">
        <v>1800</v>
      </c>
      <c r="D74" s="95">
        <v>642</v>
      </c>
      <c r="E74" s="95">
        <v>642</v>
      </c>
      <c r="F74" s="95">
        <v>642</v>
      </c>
      <c r="G74" s="95">
        <v>642</v>
      </c>
      <c r="H74" s="95">
        <v>642</v>
      </c>
      <c r="I74" s="95">
        <v>642</v>
      </c>
      <c r="J74" s="95">
        <v>642</v>
      </c>
      <c r="K74" s="95">
        <v>642</v>
      </c>
      <c r="L74" s="95">
        <v>642</v>
      </c>
      <c r="M74" s="95">
        <v>642</v>
      </c>
      <c r="N74" s="95">
        <v>642</v>
      </c>
      <c r="O74" s="95">
        <v>642</v>
      </c>
      <c r="P74" s="94">
        <f>SUM(D74:O74)</f>
        <v>7704</v>
      </c>
      <c r="Q74" s="94">
        <f t="shared" si="10"/>
        <v>5904</v>
      </c>
      <c r="R74" s="149">
        <f t="shared" si="11"/>
        <v>3.28</v>
      </c>
    </row>
    <row r="75" spans="1:18" x14ac:dyDescent="0.25">
      <c r="A75" s="162" t="s">
        <v>194</v>
      </c>
      <c r="B75" s="5" t="s">
        <v>193</v>
      </c>
      <c r="C75" s="95">
        <v>6058</v>
      </c>
      <c r="D75" s="95">
        <v>642</v>
      </c>
      <c r="E75" s="95">
        <v>642</v>
      </c>
      <c r="F75" s="95">
        <v>642</v>
      </c>
      <c r="G75" s="95">
        <v>642</v>
      </c>
      <c r="H75" s="95">
        <v>642</v>
      </c>
      <c r="I75" s="95">
        <v>642</v>
      </c>
      <c r="J75" s="95">
        <v>642</v>
      </c>
      <c r="K75" s="95">
        <v>642</v>
      </c>
      <c r="L75" s="95">
        <v>642</v>
      </c>
      <c r="M75" s="95">
        <v>642</v>
      </c>
      <c r="N75" s="95">
        <v>642</v>
      </c>
      <c r="O75" s="95">
        <v>642</v>
      </c>
      <c r="P75" s="94">
        <f>SUM(D75:O75)</f>
        <v>7704</v>
      </c>
      <c r="Q75" s="94">
        <f t="shared" ref="Q75" si="13">IF(C75&lt;&gt;"",P75-C75,"")</f>
        <v>1646</v>
      </c>
      <c r="R75" s="149">
        <f t="shared" ref="R75" si="14">IF(C75&lt;&gt;0,Q75/C75,"")</f>
        <v>0.27170683393859357</v>
      </c>
    </row>
    <row r="76" spans="1:18" x14ac:dyDescent="0.25">
      <c r="A76" s="1" t="s">
        <v>45</v>
      </c>
      <c r="B76" s="5" t="s">
        <v>46</v>
      </c>
      <c r="C76" s="95">
        <v>3340</v>
      </c>
      <c r="D76" s="95">
        <v>1431.92</v>
      </c>
      <c r="E76" s="95">
        <v>1431.92</v>
      </c>
      <c r="F76" s="95">
        <v>1431.92</v>
      </c>
      <c r="G76" s="95">
        <v>1431.92</v>
      </c>
      <c r="H76" s="95">
        <v>1431.92</v>
      </c>
      <c r="I76" s="95">
        <v>1431.92</v>
      </c>
      <c r="J76" s="95">
        <v>1431.92</v>
      </c>
      <c r="K76" s="95">
        <v>1431.92</v>
      </c>
      <c r="L76" s="95">
        <v>1431.92</v>
      </c>
      <c r="M76" s="95">
        <v>1431.92</v>
      </c>
      <c r="N76" s="95">
        <v>1431.92</v>
      </c>
      <c r="O76" s="95">
        <v>1431.92</v>
      </c>
      <c r="P76" s="94">
        <f>SUM(D76:O76)</f>
        <v>17183.04</v>
      </c>
      <c r="Q76" s="94">
        <f t="shared" si="10"/>
        <v>13843.04</v>
      </c>
      <c r="R76" s="149">
        <f t="shared" si="11"/>
        <v>4.1446227544910181</v>
      </c>
    </row>
    <row r="77" spans="1:18" x14ac:dyDescent="0.25">
      <c r="A77" s="131" t="s">
        <v>475</v>
      </c>
      <c r="B77" s="5" t="s">
        <v>476</v>
      </c>
      <c r="C77" s="95">
        <v>0</v>
      </c>
      <c r="D77" s="95">
        <f>$P$77/12</f>
        <v>0</v>
      </c>
      <c r="E77" s="95">
        <f t="shared" ref="E77:O77" si="15">$P$77/12</f>
        <v>0</v>
      </c>
      <c r="F77" s="95">
        <f t="shared" si="15"/>
        <v>0</v>
      </c>
      <c r="G77" s="95">
        <f t="shared" si="15"/>
        <v>0</v>
      </c>
      <c r="H77" s="95">
        <f t="shared" si="15"/>
        <v>0</v>
      </c>
      <c r="I77" s="95">
        <f t="shared" si="15"/>
        <v>0</v>
      </c>
      <c r="J77" s="95">
        <f t="shared" si="15"/>
        <v>0</v>
      </c>
      <c r="K77" s="95">
        <f t="shared" si="15"/>
        <v>0</v>
      </c>
      <c r="L77" s="95">
        <f t="shared" si="15"/>
        <v>0</v>
      </c>
      <c r="M77" s="95">
        <f t="shared" si="15"/>
        <v>0</v>
      </c>
      <c r="N77" s="95">
        <f t="shared" si="15"/>
        <v>0</v>
      </c>
      <c r="O77" s="95">
        <f t="shared" si="15"/>
        <v>0</v>
      </c>
      <c r="P77" s="94">
        <v>0</v>
      </c>
      <c r="Q77" s="94">
        <f t="shared" si="10"/>
        <v>0</v>
      </c>
      <c r="R77" s="149" t="str">
        <f t="shared" si="11"/>
        <v/>
      </c>
    </row>
    <row r="78" spans="1:18" x14ac:dyDescent="0.25">
      <c r="A78" s="1" t="s">
        <v>47</v>
      </c>
      <c r="B78" s="5" t="s">
        <v>48</v>
      </c>
      <c r="C78" s="95">
        <v>7375</v>
      </c>
      <c r="D78" s="95">
        <v>1308.4000000000001</v>
      </c>
      <c r="E78" s="95">
        <v>1308.4000000000001</v>
      </c>
      <c r="F78" s="95">
        <v>1308.4000000000001</v>
      </c>
      <c r="G78" s="95">
        <v>1308.4000000000001</v>
      </c>
      <c r="H78" s="95">
        <v>1308.4000000000001</v>
      </c>
      <c r="I78" s="95">
        <v>1308.4000000000001</v>
      </c>
      <c r="J78" s="95">
        <v>1308.4000000000001</v>
      </c>
      <c r="K78" s="95">
        <v>1308.4000000000001</v>
      </c>
      <c r="L78" s="95">
        <v>1308.4000000000001</v>
      </c>
      <c r="M78" s="95">
        <v>1308.4000000000001</v>
      </c>
      <c r="N78" s="95">
        <v>1308.4000000000001</v>
      </c>
      <c r="O78" s="95">
        <v>1308.4000000000001</v>
      </c>
      <c r="P78" s="94">
        <f>SUM(D78:O78)</f>
        <v>15700.799999999997</v>
      </c>
      <c r="Q78" s="94">
        <f t="shared" si="10"/>
        <v>8325.7999999999975</v>
      </c>
      <c r="R78" s="149">
        <f t="shared" si="11"/>
        <v>1.1289220338983048</v>
      </c>
    </row>
    <row r="79" spans="1:18" x14ac:dyDescent="0.25">
      <c r="A79" s="7" t="s">
        <v>219</v>
      </c>
      <c r="B79" s="5" t="s">
        <v>407</v>
      </c>
      <c r="C79" s="95">
        <v>598</v>
      </c>
      <c r="D79" s="95">
        <f t="shared" ref="D79:O81" si="16">$P79/12</f>
        <v>52.324999999999996</v>
      </c>
      <c r="E79" s="95">
        <f t="shared" si="16"/>
        <v>52.324999999999996</v>
      </c>
      <c r="F79" s="95">
        <f t="shared" si="16"/>
        <v>52.324999999999996</v>
      </c>
      <c r="G79" s="95">
        <f t="shared" si="16"/>
        <v>52.324999999999996</v>
      </c>
      <c r="H79" s="95">
        <f t="shared" si="16"/>
        <v>52.324999999999996</v>
      </c>
      <c r="I79" s="95">
        <f t="shared" si="16"/>
        <v>52.324999999999996</v>
      </c>
      <c r="J79" s="95">
        <f t="shared" si="16"/>
        <v>52.324999999999996</v>
      </c>
      <c r="K79" s="95">
        <f t="shared" si="16"/>
        <v>52.324999999999996</v>
      </c>
      <c r="L79" s="95">
        <f t="shared" si="16"/>
        <v>52.324999999999996</v>
      </c>
      <c r="M79" s="95">
        <f t="shared" si="16"/>
        <v>52.324999999999996</v>
      </c>
      <c r="N79" s="95">
        <f t="shared" si="16"/>
        <v>52.324999999999996</v>
      </c>
      <c r="O79" s="95">
        <f t="shared" si="16"/>
        <v>52.324999999999996</v>
      </c>
      <c r="P79" s="94">
        <f>C79*1.05</f>
        <v>627.9</v>
      </c>
      <c r="Q79" s="94">
        <f t="shared" si="10"/>
        <v>29.899999999999977</v>
      </c>
      <c r="R79" s="149">
        <f t="shared" si="11"/>
        <v>4.9999999999999961E-2</v>
      </c>
    </row>
    <row r="80" spans="1:18" x14ac:dyDescent="0.25">
      <c r="A80" s="89" t="s">
        <v>221</v>
      </c>
      <c r="B80" s="5" t="s">
        <v>441</v>
      </c>
      <c r="C80" s="95">
        <v>0</v>
      </c>
      <c r="D80" s="95">
        <v>0</v>
      </c>
      <c r="E80" s="95">
        <v>0</v>
      </c>
      <c r="F80" s="95">
        <v>0</v>
      </c>
      <c r="G80" s="95">
        <v>0</v>
      </c>
      <c r="H80" s="95">
        <v>0</v>
      </c>
      <c r="I80" s="95">
        <v>2000</v>
      </c>
      <c r="J80" s="95">
        <v>0</v>
      </c>
      <c r="K80" s="95">
        <v>0</v>
      </c>
      <c r="L80" s="95">
        <v>0</v>
      </c>
      <c r="M80" s="95">
        <v>150</v>
      </c>
      <c r="N80" s="95">
        <v>0</v>
      </c>
      <c r="O80" s="95">
        <v>0</v>
      </c>
      <c r="P80" s="94">
        <f t="shared" ref="P80:P88" si="17">C80*1.05</f>
        <v>0</v>
      </c>
      <c r="Q80" s="94">
        <f t="shared" si="10"/>
        <v>0</v>
      </c>
      <c r="R80" s="149" t="str">
        <f t="shared" si="11"/>
        <v/>
      </c>
    </row>
    <row r="81" spans="1:25" x14ac:dyDescent="0.25">
      <c r="A81" s="1" t="s">
        <v>223</v>
      </c>
      <c r="B81" s="5" t="s">
        <v>367</v>
      </c>
      <c r="C81" s="95">
        <v>13100</v>
      </c>
      <c r="D81" s="95">
        <f t="shared" si="16"/>
        <v>1146.25</v>
      </c>
      <c r="E81" s="95">
        <f t="shared" si="16"/>
        <v>1146.25</v>
      </c>
      <c r="F81" s="95">
        <f t="shared" si="16"/>
        <v>1146.25</v>
      </c>
      <c r="G81" s="95">
        <f t="shared" si="16"/>
        <v>1146.25</v>
      </c>
      <c r="H81" s="95">
        <f t="shared" si="16"/>
        <v>1146.25</v>
      </c>
      <c r="I81" s="95">
        <f t="shared" si="16"/>
        <v>1146.25</v>
      </c>
      <c r="J81" s="95">
        <f t="shared" si="16"/>
        <v>1146.25</v>
      </c>
      <c r="K81" s="95">
        <f t="shared" si="16"/>
        <v>1146.25</v>
      </c>
      <c r="L81" s="95">
        <f t="shared" si="16"/>
        <v>1146.25</v>
      </c>
      <c r="M81" s="95">
        <f t="shared" si="16"/>
        <v>1146.25</v>
      </c>
      <c r="N81" s="95">
        <f t="shared" si="16"/>
        <v>1146.25</v>
      </c>
      <c r="O81" s="95">
        <f t="shared" si="16"/>
        <v>1146.25</v>
      </c>
      <c r="P81" s="94">
        <f t="shared" si="17"/>
        <v>13755</v>
      </c>
      <c r="Q81" s="94">
        <f t="shared" si="10"/>
        <v>655</v>
      </c>
      <c r="R81" s="149">
        <f t="shared" si="11"/>
        <v>0.05</v>
      </c>
    </row>
    <row r="82" spans="1:25" x14ac:dyDescent="0.25">
      <c r="A82" s="152" t="s">
        <v>485</v>
      </c>
      <c r="B82" s="5" t="s">
        <v>486</v>
      </c>
      <c r="C82" s="95">
        <v>2368</v>
      </c>
      <c r="D82" s="95">
        <v>0</v>
      </c>
      <c r="E82" s="95">
        <v>0</v>
      </c>
      <c r="F82" s="95">
        <v>0</v>
      </c>
      <c r="G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4">
        <f>SUM(D82:O82)</f>
        <v>0</v>
      </c>
      <c r="Q82" s="94">
        <f t="shared" si="10"/>
        <v>-2368</v>
      </c>
      <c r="R82" s="149">
        <f t="shared" si="11"/>
        <v>-1</v>
      </c>
    </row>
    <row r="83" spans="1:25" x14ac:dyDescent="0.25">
      <c r="A83" s="1" t="s">
        <v>49</v>
      </c>
      <c r="B83" s="5" t="s">
        <v>50</v>
      </c>
      <c r="C83" s="95">
        <v>5267</v>
      </c>
      <c r="D83" s="95">
        <v>0</v>
      </c>
      <c r="E83" s="95">
        <v>0</v>
      </c>
      <c r="F83" s="95">
        <v>0</v>
      </c>
      <c r="G83" s="95">
        <v>0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0</v>
      </c>
      <c r="N83" s="95">
        <v>0</v>
      </c>
      <c r="O83" s="95">
        <v>0</v>
      </c>
      <c r="P83" s="94">
        <f t="shared" si="17"/>
        <v>5530.35</v>
      </c>
      <c r="Q83" s="94">
        <f t="shared" si="10"/>
        <v>263.35000000000036</v>
      </c>
      <c r="R83" s="149">
        <f t="shared" si="11"/>
        <v>5.0000000000000072E-2</v>
      </c>
    </row>
    <row r="84" spans="1:25" x14ac:dyDescent="0.25">
      <c r="A84" s="109" t="s">
        <v>226</v>
      </c>
      <c r="B84" s="5" t="s">
        <v>463</v>
      </c>
      <c r="C84" s="95">
        <v>12179</v>
      </c>
      <c r="D84" s="95">
        <v>0</v>
      </c>
      <c r="E84" s="95">
        <v>0</v>
      </c>
      <c r="F84" s="95">
        <v>0</v>
      </c>
      <c r="G84" s="95">
        <v>0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4">
        <f t="shared" si="17"/>
        <v>12787.95</v>
      </c>
      <c r="Q84" s="94">
        <f t="shared" si="10"/>
        <v>608.95000000000073</v>
      </c>
      <c r="R84" s="149">
        <f t="shared" si="11"/>
        <v>5.0000000000000058E-2</v>
      </c>
    </row>
    <row r="85" spans="1:25" x14ac:dyDescent="0.25">
      <c r="A85" s="1" t="s">
        <v>192</v>
      </c>
      <c r="B85" s="5" t="s">
        <v>191</v>
      </c>
      <c r="C85" s="95">
        <v>609</v>
      </c>
      <c r="D85" s="95">
        <v>0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4">
        <f t="shared" si="17"/>
        <v>639.45000000000005</v>
      </c>
      <c r="Q85" s="94">
        <f t="shared" si="10"/>
        <v>30.450000000000045</v>
      </c>
      <c r="R85" s="149">
        <f t="shared" si="11"/>
        <v>5.0000000000000072E-2</v>
      </c>
    </row>
    <row r="86" spans="1:25" x14ac:dyDescent="0.25">
      <c r="A86" s="1" t="s">
        <v>51</v>
      </c>
      <c r="B86" s="5" t="s">
        <v>52</v>
      </c>
      <c r="C86" s="95">
        <v>200</v>
      </c>
      <c r="D86" s="95">
        <v>0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4">
        <f t="shared" si="17"/>
        <v>210</v>
      </c>
      <c r="Q86" s="94">
        <f t="shared" si="10"/>
        <v>10</v>
      </c>
      <c r="R86" s="149">
        <f t="shared" si="11"/>
        <v>0.05</v>
      </c>
      <c r="S86" s="132"/>
    </row>
    <row r="87" spans="1:25" x14ac:dyDescent="0.25">
      <c r="A87" s="1" t="s">
        <v>53</v>
      </c>
      <c r="B87" s="5" t="s">
        <v>54</v>
      </c>
      <c r="C87" s="95">
        <v>13800</v>
      </c>
      <c r="D87" s="95">
        <v>0</v>
      </c>
      <c r="E87" s="95">
        <v>0</v>
      </c>
      <c r="F87" s="95">
        <v>0</v>
      </c>
      <c r="G87" s="95">
        <v>0</v>
      </c>
      <c r="H87" s="95">
        <v>0</v>
      </c>
      <c r="I87" s="95">
        <v>0</v>
      </c>
      <c r="J87" s="95">
        <v>0</v>
      </c>
      <c r="K87" s="95">
        <v>0</v>
      </c>
      <c r="L87" s="95">
        <v>0</v>
      </c>
      <c r="M87" s="95">
        <v>0</v>
      </c>
      <c r="N87" s="95">
        <v>0</v>
      </c>
      <c r="O87" s="95">
        <v>0</v>
      </c>
      <c r="P87" s="94">
        <f t="shared" si="17"/>
        <v>14490</v>
      </c>
      <c r="Q87" s="94">
        <f t="shared" si="10"/>
        <v>690</v>
      </c>
      <c r="R87" s="149">
        <f t="shared" si="11"/>
        <v>0.05</v>
      </c>
    </row>
    <row r="88" spans="1:25" x14ac:dyDescent="0.25">
      <c r="A88" s="1" t="s">
        <v>55</v>
      </c>
      <c r="B88" s="5" t="s">
        <v>56</v>
      </c>
      <c r="C88" s="95">
        <v>5480</v>
      </c>
      <c r="D88" s="95">
        <v>0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4">
        <f t="shared" si="17"/>
        <v>5754</v>
      </c>
      <c r="Q88" s="94">
        <f t="shared" si="10"/>
        <v>274</v>
      </c>
      <c r="R88" s="149">
        <f t="shared" si="11"/>
        <v>0.05</v>
      </c>
    </row>
    <row r="89" spans="1:25" x14ac:dyDescent="0.25">
      <c r="A89" s="1" t="s">
        <v>57</v>
      </c>
      <c r="B89" s="5" t="s">
        <v>58</v>
      </c>
      <c r="C89" s="95">
        <v>6686</v>
      </c>
      <c r="D89" s="95">
        <v>0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4">
        <v>45879.6</v>
      </c>
      <c r="Q89" s="94">
        <f t="shared" si="10"/>
        <v>39193.599999999999</v>
      </c>
      <c r="R89" s="149">
        <f t="shared" si="11"/>
        <v>5.8620400837571038</v>
      </c>
    </row>
    <row r="90" spans="1:25" ht="15.75" thickBot="1" x14ac:dyDescent="0.3">
      <c r="A90" s="1" t="s">
        <v>231</v>
      </c>
      <c r="B90" s="5" t="s">
        <v>366</v>
      </c>
      <c r="C90" s="95">
        <v>30000</v>
      </c>
      <c r="D90" s="95">
        <f t="shared" ref="D90:O90" si="18">D70*5%</f>
        <v>2542.4535000000001</v>
      </c>
      <c r="E90" s="95">
        <f t="shared" si="18"/>
        <v>2574.6055000000001</v>
      </c>
      <c r="F90" s="95">
        <f t="shared" si="18"/>
        <v>2581.2980000000002</v>
      </c>
      <c r="G90" s="95">
        <f t="shared" si="18"/>
        <v>2581.2980000000002</v>
      </c>
      <c r="H90" s="95">
        <f t="shared" si="18"/>
        <v>2586.7055</v>
      </c>
      <c r="I90" s="95">
        <f t="shared" si="18"/>
        <v>2586.7055</v>
      </c>
      <c r="J90" s="95">
        <f t="shared" si="18"/>
        <v>2586.7055</v>
      </c>
      <c r="K90" s="95">
        <f t="shared" si="18"/>
        <v>2586.7055</v>
      </c>
      <c r="L90" s="95">
        <f t="shared" si="18"/>
        <v>2589.0505000000003</v>
      </c>
      <c r="M90" s="95">
        <f t="shared" si="18"/>
        <v>2594.0895</v>
      </c>
      <c r="N90" s="95">
        <f t="shared" si="18"/>
        <v>2594.0895</v>
      </c>
      <c r="O90" s="95">
        <f t="shared" si="18"/>
        <v>2594.0895</v>
      </c>
      <c r="P90" s="94">
        <f>SUM(D90:O90)</f>
        <v>30997.796000000009</v>
      </c>
      <c r="Q90" s="94">
        <f t="shared" si="10"/>
        <v>997.79600000000937</v>
      </c>
      <c r="R90" s="149">
        <f t="shared" si="11"/>
        <v>3.3259866666666978E-2</v>
      </c>
      <c r="Y90" s="133"/>
    </row>
    <row r="91" spans="1:25" x14ac:dyDescent="0.25">
      <c r="A91" s="1" t="s">
        <v>59</v>
      </c>
      <c r="B91" s="5" t="s">
        <v>60</v>
      </c>
      <c r="C91" s="96">
        <f t="shared" ref="C91:P91" si="19">ROUND(SUM(C74:C90),0)</f>
        <v>108860</v>
      </c>
      <c r="D91" s="96">
        <f t="shared" si="19"/>
        <v>7765</v>
      </c>
      <c r="E91" s="96">
        <f t="shared" si="19"/>
        <v>7798</v>
      </c>
      <c r="F91" s="96">
        <f t="shared" si="19"/>
        <v>7804</v>
      </c>
      <c r="G91" s="96">
        <f t="shared" si="19"/>
        <v>7804</v>
      </c>
      <c r="H91" s="96">
        <f t="shared" si="19"/>
        <v>7810</v>
      </c>
      <c r="I91" s="96">
        <f t="shared" si="19"/>
        <v>9810</v>
      </c>
      <c r="J91" s="96">
        <f t="shared" si="19"/>
        <v>7810</v>
      </c>
      <c r="K91" s="96">
        <f t="shared" si="19"/>
        <v>7810</v>
      </c>
      <c r="L91" s="96">
        <f t="shared" si="19"/>
        <v>7812</v>
      </c>
      <c r="M91" s="96">
        <f t="shared" si="19"/>
        <v>7967</v>
      </c>
      <c r="N91" s="96">
        <f t="shared" si="19"/>
        <v>7817</v>
      </c>
      <c r="O91" s="96">
        <f t="shared" si="19"/>
        <v>7817</v>
      </c>
      <c r="P91" s="96">
        <f t="shared" si="19"/>
        <v>178964</v>
      </c>
      <c r="Q91" s="96">
        <f t="shared" si="10"/>
        <v>70104</v>
      </c>
      <c r="R91" s="149">
        <f t="shared" si="11"/>
        <v>0.64398309755649463</v>
      </c>
    </row>
    <row r="92" spans="1:25" x14ac:dyDescent="0.25">
      <c r="A92" s="1"/>
      <c r="B92" s="5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1"/>
      <c r="Q92" s="101" t="str">
        <f t="shared" si="10"/>
        <v/>
      </c>
      <c r="R92" s="149" t="str">
        <f t="shared" si="11"/>
        <v/>
      </c>
    </row>
    <row r="93" spans="1:25" x14ac:dyDescent="0.25">
      <c r="A93" s="1" t="s">
        <v>61</v>
      </c>
      <c r="B93" s="5" t="s">
        <v>62</v>
      </c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 t="str">
        <f t="shared" si="10"/>
        <v/>
      </c>
      <c r="R93" s="149" t="str">
        <f t="shared" si="11"/>
        <v/>
      </c>
    </row>
    <row r="94" spans="1:25" x14ac:dyDescent="0.25">
      <c r="A94" s="1" t="s">
        <v>63</v>
      </c>
      <c r="B94" s="5" t="s">
        <v>64</v>
      </c>
      <c r="C94" s="95">
        <v>29420</v>
      </c>
      <c r="D94" s="95">
        <f>P$94/12</f>
        <v>0</v>
      </c>
      <c r="E94" s="95">
        <f t="shared" ref="E94:O97" si="20">$P94/12</f>
        <v>0</v>
      </c>
      <c r="F94" s="95">
        <f t="shared" si="20"/>
        <v>0</v>
      </c>
      <c r="G94" s="95">
        <f t="shared" si="20"/>
        <v>0</v>
      </c>
      <c r="H94" s="95">
        <f t="shared" si="20"/>
        <v>0</v>
      </c>
      <c r="I94" s="95">
        <f t="shared" si="20"/>
        <v>0</v>
      </c>
      <c r="J94" s="95">
        <f t="shared" si="20"/>
        <v>0</v>
      </c>
      <c r="K94" s="95">
        <f t="shared" si="20"/>
        <v>0</v>
      </c>
      <c r="L94" s="95">
        <f t="shared" si="20"/>
        <v>0</v>
      </c>
      <c r="M94" s="95">
        <f t="shared" si="20"/>
        <v>0</v>
      </c>
      <c r="N94" s="95">
        <f t="shared" si="20"/>
        <v>0</v>
      </c>
      <c r="O94" s="95">
        <f t="shared" si="20"/>
        <v>0</v>
      </c>
      <c r="P94" s="94">
        <v>0</v>
      </c>
      <c r="Q94" s="94">
        <f t="shared" si="10"/>
        <v>-29420</v>
      </c>
      <c r="R94" s="149">
        <f t="shared" si="11"/>
        <v>-1</v>
      </c>
    </row>
    <row r="95" spans="1:25" x14ac:dyDescent="0.25">
      <c r="A95" s="1" t="s">
        <v>65</v>
      </c>
      <c r="B95" s="5" t="s">
        <v>66</v>
      </c>
      <c r="C95" s="95">
        <f t="shared" ref="C95:D97" si="21">$P95/12</f>
        <v>0</v>
      </c>
      <c r="D95" s="95">
        <f t="shared" si="21"/>
        <v>0</v>
      </c>
      <c r="E95" s="95">
        <f t="shared" si="20"/>
        <v>0</v>
      </c>
      <c r="F95" s="95">
        <f t="shared" si="20"/>
        <v>0</v>
      </c>
      <c r="G95" s="95">
        <f t="shared" si="20"/>
        <v>0</v>
      </c>
      <c r="H95" s="95">
        <f t="shared" si="20"/>
        <v>0</v>
      </c>
      <c r="I95" s="95">
        <f t="shared" si="20"/>
        <v>0</v>
      </c>
      <c r="J95" s="95">
        <f t="shared" si="20"/>
        <v>0</v>
      </c>
      <c r="K95" s="95">
        <f t="shared" si="20"/>
        <v>0</v>
      </c>
      <c r="L95" s="95">
        <f t="shared" si="20"/>
        <v>0</v>
      </c>
      <c r="M95" s="95">
        <f t="shared" si="20"/>
        <v>0</v>
      </c>
      <c r="N95" s="95">
        <f t="shared" si="20"/>
        <v>0</v>
      </c>
      <c r="O95" s="95">
        <f t="shared" si="20"/>
        <v>0</v>
      </c>
      <c r="P95" s="94">
        <f>_xlfn.IFNA(VLOOKUP(A95,'Op Budget 2016'!$C$15:$Q$53,15,FALSE),)</f>
        <v>0</v>
      </c>
      <c r="Q95" s="94">
        <f t="shared" si="10"/>
        <v>0</v>
      </c>
      <c r="R95" s="149" t="str">
        <f t="shared" si="11"/>
        <v/>
      </c>
    </row>
    <row r="96" spans="1:25" x14ac:dyDescent="0.25">
      <c r="A96" s="1" t="s">
        <v>67</v>
      </c>
      <c r="B96" s="5" t="s">
        <v>68</v>
      </c>
      <c r="C96" s="95">
        <f t="shared" si="21"/>
        <v>0</v>
      </c>
      <c r="D96" s="95">
        <f t="shared" si="21"/>
        <v>0</v>
      </c>
      <c r="E96" s="95">
        <f t="shared" si="20"/>
        <v>0</v>
      </c>
      <c r="F96" s="95">
        <f t="shared" si="20"/>
        <v>0</v>
      </c>
      <c r="G96" s="95">
        <f t="shared" si="20"/>
        <v>0</v>
      </c>
      <c r="H96" s="95">
        <f t="shared" si="20"/>
        <v>0</v>
      </c>
      <c r="I96" s="95">
        <f t="shared" si="20"/>
        <v>0</v>
      </c>
      <c r="J96" s="95">
        <f t="shared" si="20"/>
        <v>0</v>
      </c>
      <c r="K96" s="95">
        <f t="shared" si="20"/>
        <v>0</v>
      </c>
      <c r="L96" s="95">
        <f t="shared" si="20"/>
        <v>0</v>
      </c>
      <c r="M96" s="95">
        <f t="shared" si="20"/>
        <v>0</v>
      </c>
      <c r="N96" s="95">
        <f t="shared" si="20"/>
        <v>0</v>
      </c>
      <c r="O96" s="95">
        <f t="shared" si="20"/>
        <v>0</v>
      </c>
      <c r="P96" s="94">
        <f>_xlfn.IFNA(VLOOKUP(A96,'Op Budget 2016'!$C$15:$Q$53,15,FALSE),)</f>
        <v>0</v>
      </c>
      <c r="Q96" s="94">
        <f t="shared" si="10"/>
        <v>0</v>
      </c>
      <c r="R96" s="149" t="str">
        <f t="shared" si="11"/>
        <v/>
      </c>
    </row>
    <row r="97" spans="1:19" x14ac:dyDescent="0.25">
      <c r="A97" s="1" t="s">
        <v>69</v>
      </c>
      <c r="B97" s="5" t="s">
        <v>70</v>
      </c>
      <c r="C97" s="95">
        <f t="shared" si="21"/>
        <v>0</v>
      </c>
      <c r="D97" s="95">
        <f t="shared" si="21"/>
        <v>0</v>
      </c>
      <c r="E97" s="95">
        <f t="shared" si="20"/>
        <v>0</v>
      </c>
      <c r="F97" s="95">
        <f t="shared" si="20"/>
        <v>0</v>
      </c>
      <c r="G97" s="95">
        <f t="shared" si="20"/>
        <v>0</v>
      </c>
      <c r="H97" s="95">
        <f t="shared" si="20"/>
        <v>0</v>
      </c>
      <c r="I97" s="95">
        <f t="shared" si="20"/>
        <v>0</v>
      </c>
      <c r="J97" s="95">
        <f t="shared" si="20"/>
        <v>0</v>
      </c>
      <c r="K97" s="95">
        <f t="shared" si="20"/>
        <v>0</v>
      </c>
      <c r="L97" s="95">
        <f t="shared" si="20"/>
        <v>0</v>
      </c>
      <c r="M97" s="95">
        <f t="shared" si="20"/>
        <v>0</v>
      </c>
      <c r="N97" s="95">
        <f t="shared" si="20"/>
        <v>0</v>
      </c>
      <c r="O97" s="95">
        <f t="shared" si="20"/>
        <v>0</v>
      </c>
      <c r="P97" s="94">
        <f>_xlfn.IFNA(VLOOKUP(A97,'Op Budget 2016'!$C$15:$Q$53,15,FALSE),)</f>
        <v>0</v>
      </c>
      <c r="Q97" s="94">
        <f t="shared" si="10"/>
        <v>0</v>
      </c>
      <c r="R97" s="149" t="str">
        <f t="shared" si="11"/>
        <v/>
      </c>
    </row>
    <row r="98" spans="1:19" x14ac:dyDescent="0.25">
      <c r="A98" s="1" t="s">
        <v>71</v>
      </c>
      <c r="B98" s="5" t="s">
        <v>72</v>
      </c>
      <c r="C98" s="95">
        <v>77468</v>
      </c>
      <c r="D98" s="95">
        <v>45816.15</v>
      </c>
      <c r="E98" s="95">
        <v>0</v>
      </c>
      <c r="F98" s="95">
        <v>0</v>
      </c>
      <c r="G98" s="95">
        <v>45816.15</v>
      </c>
      <c r="H98" s="95">
        <v>0</v>
      </c>
      <c r="I98" s="95">
        <v>0</v>
      </c>
      <c r="J98" s="95">
        <v>45816.15</v>
      </c>
      <c r="K98" s="95">
        <v>0</v>
      </c>
      <c r="L98" s="95">
        <v>0</v>
      </c>
      <c r="M98" s="95">
        <v>45816.15</v>
      </c>
      <c r="N98" s="95">
        <v>0</v>
      </c>
      <c r="O98" s="95">
        <v>0</v>
      </c>
      <c r="P98" s="94">
        <f>SUM(D98:O98)</f>
        <v>183264.6</v>
      </c>
      <c r="Q98" s="94">
        <f t="shared" si="10"/>
        <v>105796.6</v>
      </c>
      <c r="R98" s="149">
        <f t="shared" si="11"/>
        <v>1.3656813135746373</v>
      </c>
    </row>
    <row r="99" spans="1:19" x14ac:dyDescent="0.25">
      <c r="A99" s="1" t="s">
        <v>73</v>
      </c>
      <c r="B99" s="5" t="s">
        <v>74</v>
      </c>
      <c r="C99" s="95">
        <v>11090</v>
      </c>
      <c r="D99" s="95">
        <v>0</v>
      </c>
      <c r="E99" s="95">
        <v>0</v>
      </c>
      <c r="F99" s="95">
        <v>0</v>
      </c>
      <c r="G99" s="95">
        <v>0</v>
      </c>
      <c r="H99" s="95">
        <v>300</v>
      </c>
      <c r="I99" s="95">
        <v>12000</v>
      </c>
      <c r="J99" s="95">
        <v>0</v>
      </c>
      <c r="K99" s="95">
        <v>0</v>
      </c>
      <c r="L99" s="95">
        <v>0</v>
      </c>
      <c r="M99" s="95">
        <v>0</v>
      </c>
      <c r="N99" s="95">
        <v>0</v>
      </c>
      <c r="O99" s="95">
        <v>0</v>
      </c>
      <c r="P99" s="94">
        <f>SUM(D99:O99)</f>
        <v>12300</v>
      </c>
      <c r="Q99" s="94">
        <f t="shared" si="10"/>
        <v>1210</v>
      </c>
      <c r="R99" s="149">
        <f t="shared" si="11"/>
        <v>0.109107303877367</v>
      </c>
      <c r="S99" t="s">
        <v>479</v>
      </c>
    </row>
    <row r="100" spans="1:19" x14ac:dyDescent="0.25">
      <c r="A100" s="1" t="s">
        <v>75</v>
      </c>
      <c r="B100" s="5" t="s">
        <v>76</v>
      </c>
      <c r="C100" s="95">
        <v>0</v>
      </c>
      <c r="D100" s="95">
        <v>0</v>
      </c>
      <c r="E100" s="95">
        <v>0</v>
      </c>
      <c r="F100" s="95">
        <f>P100/2</f>
        <v>250</v>
      </c>
      <c r="G100" s="95">
        <v>0</v>
      </c>
      <c r="H100" s="95">
        <v>0</v>
      </c>
      <c r="I100" s="95">
        <v>0</v>
      </c>
      <c r="J100" s="95">
        <v>0</v>
      </c>
      <c r="K100" s="95">
        <v>0</v>
      </c>
      <c r="L100" s="95">
        <f>P100/2</f>
        <v>250</v>
      </c>
      <c r="M100" s="95">
        <v>0</v>
      </c>
      <c r="N100" s="95">
        <v>0</v>
      </c>
      <c r="O100" s="95">
        <v>0</v>
      </c>
      <c r="P100" s="94">
        <v>500</v>
      </c>
      <c r="Q100" s="94">
        <f t="shared" si="10"/>
        <v>500</v>
      </c>
      <c r="R100" s="149" t="str">
        <f t="shared" si="11"/>
        <v/>
      </c>
    </row>
    <row r="101" spans="1:19" x14ac:dyDescent="0.25">
      <c r="A101" s="1" t="s">
        <v>190</v>
      </c>
      <c r="B101" s="5" t="s">
        <v>189</v>
      </c>
      <c r="C101" s="95">
        <v>0</v>
      </c>
      <c r="D101" s="95">
        <f t="shared" ref="C101:O109" si="22">$P101/12</f>
        <v>0</v>
      </c>
      <c r="E101" s="95">
        <f t="shared" si="22"/>
        <v>0</v>
      </c>
      <c r="F101" s="95">
        <f t="shared" si="22"/>
        <v>0</v>
      </c>
      <c r="G101" s="95">
        <f t="shared" si="22"/>
        <v>0</v>
      </c>
      <c r="H101" s="95">
        <f t="shared" si="22"/>
        <v>0</v>
      </c>
      <c r="I101" s="95">
        <f t="shared" si="22"/>
        <v>0</v>
      </c>
      <c r="J101" s="95">
        <f t="shared" si="22"/>
        <v>0</v>
      </c>
      <c r="K101" s="95">
        <f t="shared" si="22"/>
        <v>0</v>
      </c>
      <c r="L101" s="95">
        <f t="shared" si="22"/>
        <v>0</v>
      </c>
      <c r="M101" s="95">
        <f t="shared" si="22"/>
        <v>0</v>
      </c>
      <c r="N101" s="95">
        <f t="shared" si="22"/>
        <v>0</v>
      </c>
      <c r="O101" s="95">
        <f t="shared" si="22"/>
        <v>0</v>
      </c>
      <c r="P101" s="94">
        <f>_xlfn.IFNA(VLOOKUP(A101,'Op Budget 2016'!$C$15:$Q$53,15,FALSE),)</f>
        <v>0</v>
      </c>
      <c r="Q101" s="94">
        <f t="shared" si="10"/>
        <v>0</v>
      </c>
      <c r="R101" s="149" t="str">
        <f t="shared" si="11"/>
        <v/>
      </c>
    </row>
    <row r="102" spans="1:19" x14ac:dyDescent="0.25">
      <c r="A102" s="1" t="s">
        <v>77</v>
      </c>
      <c r="B102" s="5" t="s">
        <v>78</v>
      </c>
      <c r="C102" s="95">
        <f t="shared" si="22"/>
        <v>0</v>
      </c>
      <c r="D102" s="95">
        <f t="shared" si="22"/>
        <v>0</v>
      </c>
      <c r="E102" s="95">
        <f t="shared" si="22"/>
        <v>0</v>
      </c>
      <c r="F102" s="95">
        <f t="shared" si="22"/>
        <v>0</v>
      </c>
      <c r="G102" s="95">
        <f t="shared" si="22"/>
        <v>0</v>
      </c>
      <c r="H102" s="95">
        <f t="shared" si="22"/>
        <v>0</v>
      </c>
      <c r="I102" s="95">
        <f t="shared" si="22"/>
        <v>0</v>
      </c>
      <c r="J102" s="95">
        <f t="shared" si="22"/>
        <v>0</v>
      </c>
      <c r="K102" s="95">
        <f t="shared" si="22"/>
        <v>0</v>
      </c>
      <c r="L102" s="95">
        <f t="shared" si="22"/>
        <v>0</v>
      </c>
      <c r="M102" s="95">
        <f t="shared" si="22"/>
        <v>0</v>
      </c>
      <c r="N102" s="95">
        <f t="shared" si="22"/>
        <v>0</v>
      </c>
      <c r="O102" s="95">
        <f t="shared" si="22"/>
        <v>0</v>
      </c>
      <c r="P102" s="94">
        <f>_xlfn.IFNA(VLOOKUP(A102,'Op Budget 2016'!$C$15:$Q$53,15,FALSE),)</f>
        <v>0</v>
      </c>
      <c r="Q102" s="94">
        <f t="shared" si="10"/>
        <v>0</v>
      </c>
      <c r="R102" s="149" t="str">
        <f t="shared" si="11"/>
        <v/>
      </c>
    </row>
    <row r="103" spans="1:19" x14ac:dyDescent="0.25">
      <c r="A103" s="89" t="s">
        <v>247</v>
      </c>
      <c r="B103" s="5" t="s">
        <v>442</v>
      </c>
      <c r="C103" s="95">
        <v>0</v>
      </c>
      <c r="D103" s="95">
        <f t="shared" si="22"/>
        <v>236.5</v>
      </c>
      <c r="E103" s="95">
        <f t="shared" si="22"/>
        <v>236.5</v>
      </c>
      <c r="F103" s="95">
        <f t="shared" si="22"/>
        <v>236.5</v>
      </c>
      <c r="G103" s="95">
        <f t="shared" si="22"/>
        <v>236.5</v>
      </c>
      <c r="H103" s="95">
        <f t="shared" si="22"/>
        <v>236.5</v>
      </c>
      <c r="I103" s="95">
        <f t="shared" si="22"/>
        <v>236.5</v>
      </c>
      <c r="J103" s="95">
        <f t="shared" si="22"/>
        <v>236.5</v>
      </c>
      <c r="K103" s="95">
        <f t="shared" si="22"/>
        <v>236.5</v>
      </c>
      <c r="L103" s="95">
        <f t="shared" si="22"/>
        <v>236.5</v>
      </c>
      <c r="M103" s="95">
        <f t="shared" si="22"/>
        <v>236.5</v>
      </c>
      <c r="N103" s="95">
        <f t="shared" si="22"/>
        <v>236.5</v>
      </c>
      <c r="O103" s="95">
        <f t="shared" si="22"/>
        <v>236.5</v>
      </c>
      <c r="P103" s="94">
        <v>2838</v>
      </c>
      <c r="Q103" s="94">
        <f t="shared" si="10"/>
        <v>2838</v>
      </c>
      <c r="R103" s="149" t="str">
        <f t="shared" si="11"/>
        <v/>
      </c>
      <c r="S103" t="s">
        <v>484</v>
      </c>
    </row>
    <row r="104" spans="1:19" x14ac:dyDescent="0.25">
      <c r="A104" s="1" t="s">
        <v>79</v>
      </c>
      <c r="B104" s="5" t="s">
        <v>80</v>
      </c>
      <c r="C104" s="95">
        <v>0</v>
      </c>
      <c r="D104" s="95">
        <f t="shared" si="22"/>
        <v>11.666666666666666</v>
      </c>
      <c r="E104" s="95">
        <f t="shared" si="22"/>
        <v>11.666666666666666</v>
      </c>
      <c r="F104" s="95">
        <f t="shared" si="22"/>
        <v>11.666666666666666</v>
      </c>
      <c r="G104" s="95">
        <f t="shared" si="22"/>
        <v>11.666666666666666</v>
      </c>
      <c r="H104" s="95">
        <f t="shared" si="22"/>
        <v>11.666666666666666</v>
      </c>
      <c r="I104" s="95">
        <f t="shared" si="22"/>
        <v>11.666666666666666</v>
      </c>
      <c r="J104" s="95">
        <f t="shared" si="22"/>
        <v>11.666666666666666</v>
      </c>
      <c r="K104" s="95">
        <f t="shared" si="22"/>
        <v>11.666666666666666</v>
      </c>
      <c r="L104" s="95">
        <f t="shared" si="22"/>
        <v>11.666666666666666</v>
      </c>
      <c r="M104" s="95">
        <f t="shared" si="22"/>
        <v>11.666666666666666</v>
      </c>
      <c r="N104" s="95">
        <f t="shared" si="22"/>
        <v>11.666666666666666</v>
      </c>
      <c r="O104" s="95">
        <f t="shared" si="22"/>
        <v>11.666666666666666</v>
      </c>
      <c r="P104" s="94">
        <v>140</v>
      </c>
      <c r="Q104" s="94">
        <f t="shared" si="10"/>
        <v>140</v>
      </c>
      <c r="R104" s="149" t="str">
        <f t="shared" si="11"/>
        <v/>
      </c>
      <c r="S104" t="s">
        <v>484</v>
      </c>
    </row>
    <row r="105" spans="1:19" x14ac:dyDescent="0.25">
      <c r="A105" s="1" t="s">
        <v>81</v>
      </c>
      <c r="B105" s="5" t="s">
        <v>82</v>
      </c>
      <c r="C105" s="95">
        <v>0</v>
      </c>
      <c r="D105" s="95">
        <f t="shared" si="22"/>
        <v>0</v>
      </c>
      <c r="E105" s="95">
        <f t="shared" si="22"/>
        <v>0</v>
      </c>
      <c r="F105" s="95">
        <f t="shared" si="22"/>
        <v>0</v>
      </c>
      <c r="G105" s="95">
        <f t="shared" si="22"/>
        <v>0</v>
      </c>
      <c r="H105" s="95">
        <f t="shared" si="22"/>
        <v>0</v>
      </c>
      <c r="I105" s="95">
        <f t="shared" si="22"/>
        <v>0</v>
      </c>
      <c r="J105" s="95">
        <f t="shared" si="22"/>
        <v>0</v>
      </c>
      <c r="K105" s="95">
        <f t="shared" si="22"/>
        <v>0</v>
      </c>
      <c r="L105" s="95">
        <f t="shared" si="22"/>
        <v>0</v>
      </c>
      <c r="M105" s="95">
        <f t="shared" si="22"/>
        <v>0</v>
      </c>
      <c r="N105" s="95">
        <f t="shared" si="22"/>
        <v>0</v>
      </c>
      <c r="O105" s="95">
        <f t="shared" si="22"/>
        <v>0</v>
      </c>
      <c r="P105" s="94">
        <v>0</v>
      </c>
      <c r="Q105" s="94">
        <f t="shared" si="10"/>
        <v>0</v>
      </c>
      <c r="R105" s="149" t="str">
        <f t="shared" si="11"/>
        <v/>
      </c>
    </row>
    <row r="106" spans="1:19" x14ac:dyDescent="0.25">
      <c r="A106" s="1" t="s">
        <v>83</v>
      </c>
      <c r="B106" s="5" t="s">
        <v>84</v>
      </c>
      <c r="C106" s="95">
        <f t="shared" si="22"/>
        <v>0</v>
      </c>
      <c r="D106" s="95">
        <f t="shared" si="22"/>
        <v>0</v>
      </c>
      <c r="E106" s="95">
        <f t="shared" si="22"/>
        <v>0</v>
      </c>
      <c r="F106" s="95">
        <f t="shared" si="22"/>
        <v>0</v>
      </c>
      <c r="G106" s="95">
        <f t="shared" si="22"/>
        <v>0</v>
      </c>
      <c r="H106" s="95">
        <f t="shared" si="22"/>
        <v>0</v>
      </c>
      <c r="I106" s="95">
        <f t="shared" si="22"/>
        <v>0</v>
      </c>
      <c r="J106" s="95">
        <f t="shared" si="22"/>
        <v>0</v>
      </c>
      <c r="K106" s="95">
        <f t="shared" si="22"/>
        <v>0</v>
      </c>
      <c r="L106" s="95">
        <f t="shared" si="22"/>
        <v>0</v>
      </c>
      <c r="M106" s="95">
        <f t="shared" si="22"/>
        <v>0</v>
      </c>
      <c r="N106" s="95">
        <f t="shared" si="22"/>
        <v>0</v>
      </c>
      <c r="O106" s="95">
        <f t="shared" si="22"/>
        <v>0</v>
      </c>
      <c r="P106" s="94">
        <v>0</v>
      </c>
      <c r="Q106" s="94">
        <f t="shared" si="10"/>
        <v>0</v>
      </c>
      <c r="R106" s="149" t="str">
        <f t="shared" si="11"/>
        <v/>
      </c>
    </row>
    <row r="107" spans="1:19" x14ac:dyDescent="0.25">
      <c r="A107" s="1" t="s">
        <v>85</v>
      </c>
      <c r="B107" s="5" t="s">
        <v>86</v>
      </c>
      <c r="C107" s="95">
        <v>5271</v>
      </c>
      <c r="D107" s="95">
        <f t="shared" si="22"/>
        <v>0</v>
      </c>
      <c r="E107" s="95">
        <f t="shared" si="22"/>
        <v>0</v>
      </c>
      <c r="F107" s="95">
        <f t="shared" si="22"/>
        <v>0</v>
      </c>
      <c r="G107" s="95">
        <f t="shared" si="22"/>
        <v>0</v>
      </c>
      <c r="H107" s="95">
        <f t="shared" si="22"/>
        <v>0</v>
      </c>
      <c r="I107" s="95">
        <f t="shared" si="22"/>
        <v>0</v>
      </c>
      <c r="J107" s="95">
        <f t="shared" si="22"/>
        <v>0</v>
      </c>
      <c r="K107" s="95">
        <f t="shared" si="22"/>
        <v>0</v>
      </c>
      <c r="L107" s="95">
        <f t="shared" si="22"/>
        <v>0</v>
      </c>
      <c r="M107" s="95">
        <f t="shared" si="22"/>
        <v>0</v>
      </c>
      <c r="N107" s="95">
        <f t="shared" si="22"/>
        <v>0</v>
      </c>
      <c r="O107" s="95">
        <f t="shared" si="22"/>
        <v>0</v>
      </c>
      <c r="P107" s="94">
        <f>_xlfn.IFNA(VLOOKUP(A107,'Op Budget 2016'!$C$15:$Q$53,15,FALSE),)</f>
        <v>0</v>
      </c>
      <c r="Q107" s="94">
        <f t="shared" si="10"/>
        <v>-5271</v>
      </c>
      <c r="R107" s="149">
        <f t="shared" si="11"/>
        <v>-1</v>
      </c>
    </row>
    <row r="108" spans="1:19" x14ac:dyDescent="0.25">
      <c r="A108" s="1" t="s">
        <v>87</v>
      </c>
      <c r="B108" s="5" t="s">
        <v>88</v>
      </c>
      <c r="C108" s="95">
        <v>2500</v>
      </c>
      <c r="D108" s="95">
        <f t="shared" si="22"/>
        <v>679.16666666666663</v>
      </c>
      <c r="E108" s="95">
        <f t="shared" si="22"/>
        <v>679.16666666666663</v>
      </c>
      <c r="F108" s="95">
        <f t="shared" si="22"/>
        <v>679.16666666666663</v>
      </c>
      <c r="G108" s="95">
        <f t="shared" si="22"/>
        <v>679.16666666666663</v>
      </c>
      <c r="H108" s="95">
        <f t="shared" si="22"/>
        <v>679.16666666666663</v>
      </c>
      <c r="I108" s="95">
        <f t="shared" si="22"/>
        <v>679.16666666666663</v>
      </c>
      <c r="J108" s="95">
        <f t="shared" si="22"/>
        <v>679.16666666666663</v>
      </c>
      <c r="K108" s="95">
        <f t="shared" si="22"/>
        <v>679.16666666666663</v>
      </c>
      <c r="L108" s="95">
        <f t="shared" si="22"/>
        <v>679.16666666666663</v>
      </c>
      <c r="M108" s="95">
        <f t="shared" si="22"/>
        <v>679.16666666666663</v>
      </c>
      <c r="N108" s="95">
        <f t="shared" si="22"/>
        <v>679.16666666666663</v>
      </c>
      <c r="O108" s="95">
        <f t="shared" si="22"/>
        <v>679.16666666666663</v>
      </c>
      <c r="P108" s="94">
        <f>_xlfn.IFNA(VLOOKUP(A108,'Op Budget 2016'!$C$15:$Q$53,15,FALSE),)</f>
        <v>8150</v>
      </c>
      <c r="Q108" s="94">
        <f t="shared" si="10"/>
        <v>5650</v>
      </c>
      <c r="R108" s="149">
        <f t="shared" si="11"/>
        <v>2.2599999999999998</v>
      </c>
    </row>
    <row r="109" spans="1:19" x14ac:dyDescent="0.25">
      <c r="A109" s="1" t="s">
        <v>89</v>
      </c>
      <c r="B109" s="5" t="s">
        <v>90</v>
      </c>
      <c r="C109" s="95">
        <v>3600</v>
      </c>
      <c r="D109" s="95">
        <v>600</v>
      </c>
      <c r="E109" s="95">
        <f t="shared" si="22"/>
        <v>600</v>
      </c>
      <c r="F109" s="95">
        <f t="shared" si="22"/>
        <v>600</v>
      </c>
      <c r="G109" s="95">
        <f t="shared" si="22"/>
        <v>600</v>
      </c>
      <c r="H109" s="95">
        <f t="shared" si="22"/>
        <v>600</v>
      </c>
      <c r="I109" s="95">
        <f t="shared" si="22"/>
        <v>600</v>
      </c>
      <c r="J109" s="95">
        <f t="shared" si="22"/>
        <v>600</v>
      </c>
      <c r="K109" s="95">
        <f t="shared" si="22"/>
        <v>600</v>
      </c>
      <c r="L109" s="95">
        <f t="shared" si="22"/>
        <v>600</v>
      </c>
      <c r="M109" s="95">
        <f t="shared" si="22"/>
        <v>600</v>
      </c>
      <c r="N109" s="95">
        <f t="shared" si="22"/>
        <v>600</v>
      </c>
      <c r="O109" s="95">
        <f t="shared" si="22"/>
        <v>600</v>
      </c>
      <c r="P109" s="94">
        <v>7200</v>
      </c>
      <c r="Q109" s="94">
        <f t="shared" si="10"/>
        <v>3600</v>
      </c>
      <c r="R109" s="149">
        <f t="shared" si="11"/>
        <v>1</v>
      </c>
    </row>
    <row r="110" spans="1:19" x14ac:dyDescent="0.25">
      <c r="A110" s="1" t="s">
        <v>91</v>
      </c>
      <c r="B110" s="5" t="s">
        <v>92</v>
      </c>
      <c r="C110" s="95">
        <v>8590</v>
      </c>
      <c r="D110" s="95">
        <v>0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4">
        <f>SUM(D110:O110)</f>
        <v>0</v>
      </c>
      <c r="Q110" s="94">
        <f t="shared" si="10"/>
        <v>-8590</v>
      </c>
      <c r="R110" s="149">
        <f t="shared" si="11"/>
        <v>-1</v>
      </c>
    </row>
    <row r="111" spans="1:19" ht="15.75" thickBot="1" x14ac:dyDescent="0.3">
      <c r="A111" s="1"/>
      <c r="B111" s="5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 t="str">
        <f t="shared" si="10"/>
        <v/>
      </c>
      <c r="R111" s="149" t="str">
        <f t="shared" si="11"/>
        <v/>
      </c>
    </row>
    <row r="112" spans="1:19" s="87" customFormat="1" x14ac:dyDescent="0.25">
      <c r="A112" s="6" t="s">
        <v>93</v>
      </c>
      <c r="B112" s="3" t="s">
        <v>94</v>
      </c>
      <c r="C112" s="96">
        <f t="shared" ref="C112" si="23">SUM(C94:C111)</f>
        <v>137939</v>
      </c>
      <c r="D112" s="96">
        <f t="shared" ref="D112:O112" si="24">SUM(D94:D111)</f>
        <v>47343.48333333333</v>
      </c>
      <c r="E112" s="96">
        <f t="shared" si="24"/>
        <v>1527.3333333333333</v>
      </c>
      <c r="F112" s="96">
        <f t="shared" si="24"/>
        <v>1777.3333333333333</v>
      </c>
      <c r="G112" s="96">
        <f t="shared" si="24"/>
        <v>47343.48333333333</v>
      </c>
      <c r="H112" s="96">
        <f t="shared" si="24"/>
        <v>1827.3333333333333</v>
      </c>
      <c r="I112" s="96">
        <f t="shared" si="24"/>
        <v>13527.333333333332</v>
      </c>
      <c r="J112" s="96">
        <f t="shared" si="24"/>
        <v>47343.48333333333</v>
      </c>
      <c r="K112" s="96">
        <f t="shared" si="24"/>
        <v>1527.3333333333333</v>
      </c>
      <c r="L112" s="96">
        <f t="shared" si="24"/>
        <v>1777.3333333333333</v>
      </c>
      <c r="M112" s="96">
        <f t="shared" si="24"/>
        <v>47343.48333333333</v>
      </c>
      <c r="N112" s="96">
        <f t="shared" si="24"/>
        <v>1527.3333333333333</v>
      </c>
      <c r="O112" s="96">
        <f t="shared" si="24"/>
        <v>1527.3333333333333</v>
      </c>
      <c r="P112" s="96">
        <f>SUM(P94:P111)</f>
        <v>214392.6</v>
      </c>
      <c r="Q112" s="96">
        <f t="shared" si="10"/>
        <v>76453.600000000006</v>
      </c>
      <c r="R112" s="149">
        <f t="shared" si="11"/>
        <v>0.55425659168183039</v>
      </c>
    </row>
    <row r="113" spans="1:24" x14ac:dyDescent="0.25">
      <c r="A113" s="1"/>
      <c r="B113" s="5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 t="str">
        <f t="shared" si="10"/>
        <v/>
      </c>
      <c r="R113" s="149" t="str">
        <f t="shared" si="11"/>
        <v/>
      </c>
    </row>
    <row r="114" spans="1:24" x14ac:dyDescent="0.25">
      <c r="A114" s="1" t="s">
        <v>95</v>
      </c>
      <c r="B114" s="5" t="s">
        <v>96</v>
      </c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 t="str">
        <f t="shared" si="10"/>
        <v/>
      </c>
      <c r="R114" s="149" t="str">
        <f t="shared" si="11"/>
        <v/>
      </c>
      <c r="U114" s="106"/>
      <c r="V114" s="134"/>
      <c r="W114" s="134"/>
      <c r="X114" s="134"/>
    </row>
    <row r="115" spans="1:24" x14ac:dyDescent="0.25">
      <c r="A115" s="1" t="s">
        <v>256</v>
      </c>
      <c r="B115" s="5" t="s">
        <v>368</v>
      </c>
      <c r="C115" s="95">
        <v>1119</v>
      </c>
      <c r="D115" s="95">
        <f t="shared" ref="D115:O115" si="25">$P$115/12</f>
        <v>65.274999999999991</v>
      </c>
      <c r="E115" s="95">
        <f t="shared" si="25"/>
        <v>65.274999999999991</v>
      </c>
      <c r="F115" s="95">
        <f t="shared" si="25"/>
        <v>65.274999999999991</v>
      </c>
      <c r="G115" s="95">
        <f t="shared" si="25"/>
        <v>65.274999999999991</v>
      </c>
      <c r="H115" s="95">
        <f t="shared" si="25"/>
        <v>65.274999999999991</v>
      </c>
      <c r="I115" s="95">
        <f t="shared" si="25"/>
        <v>65.274999999999991</v>
      </c>
      <c r="J115" s="95">
        <f t="shared" si="25"/>
        <v>65.274999999999991</v>
      </c>
      <c r="K115" s="95">
        <f t="shared" si="25"/>
        <v>65.274999999999991</v>
      </c>
      <c r="L115" s="95">
        <f t="shared" si="25"/>
        <v>65.274999999999991</v>
      </c>
      <c r="M115" s="95">
        <f t="shared" si="25"/>
        <v>65.274999999999991</v>
      </c>
      <c r="N115" s="95">
        <f t="shared" si="25"/>
        <v>65.274999999999991</v>
      </c>
      <c r="O115" s="95">
        <f t="shared" si="25"/>
        <v>65.274999999999991</v>
      </c>
      <c r="P115" s="94">
        <f>C115*0.7</f>
        <v>783.3</v>
      </c>
      <c r="Q115" s="94">
        <f t="shared" si="10"/>
        <v>-335.70000000000005</v>
      </c>
      <c r="R115" s="149">
        <f t="shared" si="11"/>
        <v>-0.30000000000000004</v>
      </c>
      <c r="S115" t="s">
        <v>478</v>
      </c>
      <c r="U115" s="129"/>
      <c r="V115" s="134"/>
      <c r="W115" s="134"/>
      <c r="X115" s="134"/>
    </row>
    <row r="116" spans="1:24" x14ac:dyDescent="0.25">
      <c r="A116" s="1" t="s">
        <v>97</v>
      </c>
      <c r="B116" s="5" t="s">
        <v>98</v>
      </c>
      <c r="C116" s="95">
        <v>130</v>
      </c>
      <c r="D116" s="95">
        <v>0</v>
      </c>
      <c r="E116" s="95">
        <v>0</v>
      </c>
      <c r="F116" s="95">
        <f>103*0.7</f>
        <v>72.099999999999994</v>
      </c>
      <c r="G116" s="95">
        <f>20*0.7</f>
        <v>14</v>
      </c>
      <c r="H116" s="95">
        <v>0</v>
      </c>
      <c r="I116" s="95">
        <v>0</v>
      </c>
      <c r="J116" s="95">
        <f>117*0.7</f>
        <v>81.899999999999991</v>
      </c>
      <c r="K116" s="95">
        <f>78*0.7</f>
        <v>54.599999999999994</v>
      </c>
      <c r="L116" s="95">
        <v>0</v>
      </c>
      <c r="M116" s="95">
        <v>0</v>
      </c>
      <c r="N116" s="95">
        <v>0</v>
      </c>
      <c r="O116" s="95">
        <v>0</v>
      </c>
      <c r="P116" s="94">
        <f>SUM(D116:O116)</f>
        <v>222.6</v>
      </c>
      <c r="Q116" s="94">
        <f t="shared" si="10"/>
        <v>92.6</v>
      </c>
      <c r="R116" s="149">
        <f t="shared" si="11"/>
        <v>0.71230769230769231</v>
      </c>
      <c r="S116" t="s">
        <v>478</v>
      </c>
      <c r="U116" s="129"/>
      <c r="V116" s="134"/>
      <c r="W116" s="134"/>
      <c r="X116" s="134"/>
    </row>
    <row r="117" spans="1:24" x14ac:dyDescent="0.25">
      <c r="A117" s="1" t="s">
        <v>99</v>
      </c>
      <c r="B117" s="5" t="s">
        <v>100</v>
      </c>
      <c r="C117" s="95">
        <v>277</v>
      </c>
      <c r="D117" s="95">
        <f t="shared" ref="D117:O117" si="26">$P$117/12</f>
        <v>16.158333333333331</v>
      </c>
      <c r="E117" s="95">
        <f t="shared" si="26"/>
        <v>16.158333333333331</v>
      </c>
      <c r="F117" s="95">
        <f t="shared" si="26"/>
        <v>16.158333333333331</v>
      </c>
      <c r="G117" s="95">
        <f t="shared" si="26"/>
        <v>16.158333333333331</v>
      </c>
      <c r="H117" s="95">
        <f t="shared" si="26"/>
        <v>16.158333333333331</v>
      </c>
      <c r="I117" s="95">
        <f t="shared" si="26"/>
        <v>16.158333333333331</v>
      </c>
      <c r="J117" s="95">
        <f t="shared" si="26"/>
        <v>16.158333333333331</v>
      </c>
      <c r="K117" s="95">
        <f t="shared" si="26"/>
        <v>16.158333333333331</v>
      </c>
      <c r="L117" s="95">
        <f t="shared" si="26"/>
        <v>16.158333333333331</v>
      </c>
      <c r="M117" s="95">
        <f t="shared" si="26"/>
        <v>16.158333333333331</v>
      </c>
      <c r="N117" s="95">
        <f t="shared" si="26"/>
        <v>16.158333333333331</v>
      </c>
      <c r="O117" s="95">
        <f t="shared" si="26"/>
        <v>16.158333333333331</v>
      </c>
      <c r="P117" s="94">
        <f>C117*0.7</f>
        <v>193.89999999999998</v>
      </c>
      <c r="Q117" s="94">
        <f t="shared" si="10"/>
        <v>-83.100000000000023</v>
      </c>
      <c r="R117" s="149">
        <f t="shared" si="11"/>
        <v>-0.3000000000000001</v>
      </c>
      <c r="S117" t="s">
        <v>478</v>
      </c>
      <c r="V117" s="134"/>
      <c r="W117" s="134"/>
      <c r="X117" s="134"/>
    </row>
    <row r="118" spans="1:24" x14ac:dyDescent="0.25">
      <c r="A118" s="1" t="s">
        <v>101</v>
      </c>
      <c r="B118" s="5" t="s">
        <v>102</v>
      </c>
      <c r="C118" s="95">
        <v>100</v>
      </c>
      <c r="D118" s="95">
        <f t="shared" ref="D118:O118" si="27">$P$118/12</f>
        <v>0</v>
      </c>
      <c r="E118" s="95">
        <f t="shared" si="27"/>
        <v>0</v>
      </c>
      <c r="F118" s="95">
        <f t="shared" si="27"/>
        <v>0</v>
      </c>
      <c r="G118" s="95">
        <f t="shared" si="27"/>
        <v>0</v>
      </c>
      <c r="H118" s="95">
        <f t="shared" si="27"/>
        <v>0</v>
      </c>
      <c r="I118" s="95">
        <f t="shared" si="27"/>
        <v>0</v>
      </c>
      <c r="J118" s="95">
        <f t="shared" si="27"/>
        <v>0</v>
      </c>
      <c r="K118" s="95">
        <f t="shared" si="27"/>
        <v>0</v>
      </c>
      <c r="L118" s="95">
        <f t="shared" si="27"/>
        <v>0</v>
      </c>
      <c r="M118" s="95">
        <f t="shared" si="27"/>
        <v>0</v>
      </c>
      <c r="N118" s="95">
        <f t="shared" si="27"/>
        <v>0</v>
      </c>
      <c r="O118" s="95">
        <f t="shared" si="27"/>
        <v>0</v>
      </c>
      <c r="P118" s="94">
        <v>0</v>
      </c>
      <c r="Q118" s="94">
        <f t="shared" si="10"/>
        <v>-100</v>
      </c>
      <c r="R118" s="149">
        <f t="shared" si="11"/>
        <v>-1</v>
      </c>
      <c r="V118" s="129"/>
    </row>
    <row r="119" spans="1:24" x14ac:dyDescent="0.25">
      <c r="A119" s="1" t="s">
        <v>103</v>
      </c>
      <c r="B119" s="5" t="s">
        <v>104</v>
      </c>
      <c r="C119" s="95">
        <v>0</v>
      </c>
      <c r="D119" s="95">
        <f>$P$119/12</f>
        <v>0</v>
      </c>
      <c r="E119" s="95">
        <f t="shared" ref="E119:O119" si="28">$P$119/12</f>
        <v>0</v>
      </c>
      <c r="F119" s="95">
        <f t="shared" si="28"/>
        <v>0</v>
      </c>
      <c r="G119" s="95">
        <f t="shared" si="28"/>
        <v>0</v>
      </c>
      <c r="H119" s="95">
        <f t="shared" si="28"/>
        <v>0</v>
      </c>
      <c r="I119" s="95">
        <f t="shared" si="28"/>
        <v>0</v>
      </c>
      <c r="J119" s="95">
        <f t="shared" si="28"/>
        <v>0</v>
      </c>
      <c r="K119" s="95">
        <f t="shared" si="28"/>
        <v>0</v>
      </c>
      <c r="L119" s="95">
        <f t="shared" si="28"/>
        <v>0</v>
      </c>
      <c r="M119" s="95">
        <f t="shared" si="28"/>
        <v>0</v>
      </c>
      <c r="N119" s="95">
        <f t="shared" si="28"/>
        <v>0</v>
      </c>
      <c r="O119" s="95">
        <f t="shared" si="28"/>
        <v>0</v>
      </c>
      <c r="P119" s="94">
        <f>C119*0.7</f>
        <v>0</v>
      </c>
      <c r="Q119" s="94">
        <f t="shared" si="10"/>
        <v>0</v>
      </c>
      <c r="R119" s="149" t="str">
        <f t="shared" si="11"/>
        <v/>
      </c>
      <c r="S119" t="s">
        <v>478</v>
      </c>
      <c r="V119" s="129"/>
      <c r="W119" s="129"/>
      <c r="X119" s="133"/>
    </row>
    <row r="120" spans="1:24" ht="15.75" thickBot="1" x14ac:dyDescent="0.3">
      <c r="A120" s="1"/>
      <c r="B120" s="5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 t="str">
        <f t="shared" si="10"/>
        <v/>
      </c>
      <c r="R120" s="149" t="str">
        <f t="shared" si="11"/>
        <v/>
      </c>
      <c r="W120" s="168"/>
    </row>
    <row r="121" spans="1:24" s="87" customFormat="1" x14ac:dyDescent="0.25">
      <c r="A121" s="6" t="s">
        <v>105</v>
      </c>
      <c r="B121" s="3" t="s">
        <v>106</v>
      </c>
      <c r="C121" s="96">
        <f t="shared" ref="C121" si="29">SUM(C115:C120)</f>
        <v>1626</v>
      </c>
      <c r="D121" s="96">
        <f t="shared" ref="D121:O121" si="30">SUM(D115:D120)</f>
        <v>81.433333333333323</v>
      </c>
      <c r="E121" s="96">
        <f t="shared" si="30"/>
        <v>81.433333333333323</v>
      </c>
      <c r="F121" s="96">
        <f t="shared" si="30"/>
        <v>153.53333333333333</v>
      </c>
      <c r="G121" s="96">
        <f t="shared" si="30"/>
        <v>95.433333333333323</v>
      </c>
      <c r="H121" s="96">
        <f t="shared" si="30"/>
        <v>81.433333333333323</v>
      </c>
      <c r="I121" s="96">
        <f t="shared" si="30"/>
        <v>81.433333333333323</v>
      </c>
      <c r="J121" s="96">
        <f t="shared" si="30"/>
        <v>163.33333333333331</v>
      </c>
      <c r="K121" s="96">
        <f t="shared" si="30"/>
        <v>136.0333333333333</v>
      </c>
      <c r="L121" s="96">
        <f t="shared" si="30"/>
        <v>81.433333333333323</v>
      </c>
      <c r="M121" s="96">
        <f t="shared" si="30"/>
        <v>81.433333333333323</v>
      </c>
      <c r="N121" s="96">
        <f t="shared" si="30"/>
        <v>81.433333333333323</v>
      </c>
      <c r="O121" s="96">
        <f t="shared" si="30"/>
        <v>81.433333333333323</v>
      </c>
      <c r="P121" s="96">
        <f>SUM(P115:P120)</f>
        <v>1199.8</v>
      </c>
      <c r="Q121" s="96">
        <f t="shared" si="10"/>
        <v>-426.20000000000005</v>
      </c>
      <c r="R121" s="149">
        <f t="shared" si="11"/>
        <v>-0.26211562115621156</v>
      </c>
    </row>
    <row r="122" spans="1:24" x14ac:dyDescent="0.25">
      <c r="A122" s="1"/>
      <c r="B122" s="5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 t="str">
        <f t="shared" si="10"/>
        <v/>
      </c>
      <c r="R122" s="149" t="str">
        <f t="shared" si="11"/>
        <v/>
      </c>
    </row>
    <row r="123" spans="1:24" x14ac:dyDescent="0.25">
      <c r="A123" s="1" t="s">
        <v>107</v>
      </c>
      <c r="B123" s="5" t="s">
        <v>108</v>
      </c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 t="str">
        <f t="shared" si="10"/>
        <v/>
      </c>
      <c r="R123" s="149" t="str">
        <f t="shared" si="11"/>
        <v/>
      </c>
    </row>
    <row r="124" spans="1:24" ht="15.75" thickBot="1" x14ac:dyDescent="0.3">
      <c r="A124" s="1" t="s">
        <v>109</v>
      </c>
      <c r="B124" s="5" t="s">
        <v>110</v>
      </c>
      <c r="C124" s="94">
        <v>128062</v>
      </c>
      <c r="D124" s="94">
        <v>9417.33</v>
      </c>
      <c r="E124" s="94">
        <v>9400.98</v>
      </c>
      <c r="F124" s="94">
        <v>9384.58</v>
      </c>
      <c r="G124" s="94">
        <v>9368.1200000000008</v>
      </c>
      <c r="H124" s="94">
        <v>9351.6</v>
      </c>
      <c r="I124" s="94">
        <v>9335.0400000000009</v>
      </c>
      <c r="J124" s="94">
        <v>9318.41</v>
      </c>
      <c r="K124" s="94">
        <v>9301.73</v>
      </c>
      <c r="L124" s="94">
        <v>9284.99</v>
      </c>
      <c r="M124" s="94">
        <v>9268.2000000000007</v>
      </c>
      <c r="N124" s="94">
        <v>9251.36</v>
      </c>
      <c r="O124" s="94">
        <v>9234.4500000000007</v>
      </c>
      <c r="P124" s="94">
        <f>SUM(D124:O124)</f>
        <v>111916.79</v>
      </c>
      <c r="Q124" s="94">
        <f t="shared" si="10"/>
        <v>-16145.210000000006</v>
      </c>
      <c r="R124" s="149">
        <f t="shared" si="11"/>
        <v>-0.12607338632849718</v>
      </c>
    </row>
    <row r="125" spans="1:24" s="87" customFormat="1" x14ac:dyDescent="0.25">
      <c r="A125" s="6" t="s">
        <v>111</v>
      </c>
      <c r="B125" s="3" t="s">
        <v>112</v>
      </c>
      <c r="C125" s="96">
        <f t="shared" ref="C125:O125" si="31">SUM(C124:C124)</f>
        <v>128062</v>
      </c>
      <c r="D125" s="96">
        <f t="shared" si="31"/>
        <v>9417.33</v>
      </c>
      <c r="E125" s="96">
        <f t="shared" si="31"/>
        <v>9400.98</v>
      </c>
      <c r="F125" s="96">
        <f t="shared" si="31"/>
        <v>9384.58</v>
      </c>
      <c r="G125" s="96">
        <f t="shared" si="31"/>
        <v>9368.1200000000008</v>
      </c>
      <c r="H125" s="96">
        <f t="shared" si="31"/>
        <v>9351.6</v>
      </c>
      <c r="I125" s="96">
        <f t="shared" si="31"/>
        <v>9335.0400000000009</v>
      </c>
      <c r="J125" s="96">
        <f t="shared" si="31"/>
        <v>9318.41</v>
      </c>
      <c r="K125" s="96">
        <f t="shared" si="31"/>
        <v>9301.73</v>
      </c>
      <c r="L125" s="96">
        <f t="shared" si="31"/>
        <v>9284.99</v>
      </c>
      <c r="M125" s="96">
        <f t="shared" si="31"/>
        <v>9268.2000000000007</v>
      </c>
      <c r="N125" s="96">
        <f t="shared" si="31"/>
        <v>9251.36</v>
      </c>
      <c r="O125" s="96">
        <f t="shared" si="31"/>
        <v>9234.4500000000007</v>
      </c>
      <c r="P125" s="96">
        <f>SUM(P124:P124)</f>
        <v>111916.79</v>
      </c>
      <c r="Q125" s="96">
        <f t="shared" si="10"/>
        <v>-16145.210000000006</v>
      </c>
      <c r="R125" s="149">
        <f t="shared" si="11"/>
        <v>-0.12607338632849718</v>
      </c>
    </row>
    <row r="126" spans="1:24" x14ac:dyDescent="0.25">
      <c r="A126" s="1"/>
      <c r="B126" s="5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 t="str">
        <f t="shared" si="10"/>
        <v/>
      </c>
      <c r="R126" s="149" t="str">
        <f t="shared" si="11"/>
        <v/>
      </c>
    </row>
    <row r="127" spans="1:24" ht="15.75" thickBot="1" x14ac:dyDescent="0.3">
      <c r="A127" s="1"/>
      <c r="B127" s="5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 t="str">
        <f t="shared" si="10"/>
        <v/>
      </c>
      <c r="R127" s="149" t="str">
        <f t="shared" si="11"/>
        <v/>
      </c>
    </row>
    <row r="128" spans="1:24" s="87" customFormat="1" x14ac:dyDescent="0.25">
      <c r="A128" s="6" t="s">
        <v>113</v>
      </c>
      <c r="B128" s="3" t="s">
        <v>114</v>
      </c>
      <c r="C128" s="96">
        <f t="shared" ref="C128" si="32">SUM(C125,C121,C112,C91)</f>
        <v>376487</v>
      </c>
      <c r="D128" s="96">
        <f t="shared" ref="D128:O128" si="33">SUM(D125,D121,D112,D91)</f>
        <v>64607.246666666659</v>
      </c>
      <c r="E128" s="96">
        <f t="shared" si="33"/>
        <v>18807.746666666666</v>
      </c>
      <c r="F128" s="96">
        <f t="shared" si="33"/>
        <v>19119.446666666667</v>
      </c>
      <c r="G128" s="96">
        <f t="shared" si="33"/>
        <v>64611.036666666667</v>
      </c>
      <c r="H128" s="96">
        <f t="shared" si="33"/>
        <v>19070.366666666669</v>
      </c>
      <c r="I128" s="96">
        <f t="shared" si="33"/>
        <v>32753.806666666664</v>
      </c>
      <c r="J128" s="96">
        <f t="shared" si="33"/>
        <v>64635.226666666662</v>
      </c>
      <c r="K128" s="96">
        <f t="shared" si="33"/>
        <v>18775.096666666665</v>
      </c>
      <c r="L128" s="96">
        <f t="shared" si="33"/>
        <v>18955.756666666668</v>
      </c>
      <c r="M128" s="96">
        <f t="shared" si="33"/>
        <v>64660.116666666661</v>
      </c>
      <c r="N128" s="96">
        <f t="shared" si="33"/>
        <v>18677.126666666667</v>
      </c>
      <c r="O128" s="96">
        <f t="shared" si="33"/>
        <v>18660.216666666667</v>
      </c>
      <c r="P128" s="96">
        <f>SUM(P125,P121,P112,P91)</f>
        <v>506473.19</v>
      </c>
      <c r="Q128" s="96">
        <f t="shared" si="10"/>
        <v>129986.19</v>
      </c>
      <c r="R128" s="149">
        <f t="shared" si="11"/>
        <v>0.34526076597598326</v>
      </c>
    </row>
    <row r="129" spans="1:19" x14ac:dyDescent="0.25">
      <c r="A129" s="1"/>
      <c r="B129" s="5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 t="str">
        <f t="shared" si="10"/>
        <v/>
      </c>
      <c r="R129" s="149" t="str">
        <f t="shared" si="11"/>
        <v/>
      </c>
    </row>
    <row r="130" spans="1:19" ht="15.75" thickBot="1" x14ac:dyDescent="0.3">
      <c r="A130" s="1"/>
      <c r="B130" s="5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 t="str">
        <f t="shared" si="10"/>
        <v/>
      </c>
      <c r="R130" s="149" t="str">
        <f t="shared" si="11"/>
        <v/>
      </c>
    </row>
    <row r="131" spans="1:19" s="87" customFormat="1" x14ac:dyDescent="0.25">
      <c r="A131" s="6" t="s">
        <v>115</v>
      </c>
      <c r="B131" s="3" t="s">
        <v>116</v>
      </c>
      <c r="C131" s="96">
        <f t="shared" ref="C131:P131" si="34">-C128+C70</f>
        <v>208728</v>
      </c>
      <c r="D131" s="96">
        <f t="shared" si="34"/>
        <v>-13758.176666666659</v>
      </c>
      <c r="E131" s="96">
        <f t="shared" si="34"/>
        <v>32684.363333333335</v>
      </c>
      <c r="F131" s="96">
        <f t="shared" si="34"/>
        <v>32506.513333333332</v>
      </c>
      <c r="G131" s="96">
        <f t="shared" si="34"/>
        <v>-12985.076666666668</v>
      </c>
      <c r="H131" s="96">
        <f t="shared" si="34"/>
        <v>32663.743333333332</v>
      </c>
      <c r="I131" s="96">
        <f t="shared" si="34"/>
        <v>18980.303333333337</v>
      </c>
      <c r="J131" s="96">
        <f t="shared" si="34"/>
        <v>-12901.116666666661</v>
      </c>
      <c r="K131" s="96">
        <f t="shared" si="34"/>
        <v>32959.013333333336</v>
      </c>
      <c r="L131" s="96">
        <f t="shared" si="34"/>
        <v>32825.253333333334</v>
      </c>
      <c r="M131" s="96">
        <f t="shared" si="34"/>
        <v>-12778.32666666666</v>
      </c>
      <c r="N131" s="96">
        <f t="shared" si="34"/>
        <v>33204.66333333333</v>
      </c>
      <c r="O131" s="96">
        <f t="shared" si="34"/>
        <v>33221.573333333334</v>
      </c>
      <c r="P131" s="96">
        <f t="shared" si="34"/>
        <v>113477.73000000004</v>
      </c>
      <c r="Q131" s="96">
        <f t="shared" si="10"/>
        <v>-95250.26999999996</v>
      </c>
      <c r="R131" s="149">
        <f t="shared" si="11"/>
        <v>-0.45633681154421046</v>
      </c>
    </row>
    <row r="132" spans="1:19" x14ac:dyDescent="0.25">
      <c r="A132" s="1"/>
      <c r="B132" s="5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 t="str">
        <f t="shared" si="10"/>
        <v/>
      </c>
      <c r="R132" s="149" t="str">
        <f t="shared" ref="R132:R182" si="35">IF(C132&lt;&gt;0,Q132/C132,"")</f>
        <v/>
      </c>
    </row>
    <row r="133" spans="1:19" x14ac:dyDescent="0.25">
      <c r="A133" s="1"/>
      <c r="B133" s="5" t="s">
        <v>117</v>
      </c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 t="str">
        <f t="shared" si="10"/>
        <v/>
      </c>
      <c r="R133" s="149" t="str">
        <f t="shared" si="35"/>
        <v/>
      </c>
    </row>
    <row r="134" spans="1:19" ht="15.75" thickBot="1" x14ac:dyDescent="0.3">
      <c r="A134" s="1" t="s">
        <v>118</v>
      </c>
      <c r="B134" s="5" t="s">
        <v>119</v>
      </c>
      <c r="C134" s="95">
        <v>78000</v>
      </c>
      <c r="D134" s="95">
        <f>-5471.14+D98</f>
        <v>40345.01</v>
      </c>
      <c r="E134" s="95">
        <f t="shared" ref="E134:O134" si="36">-5471.14+E98</f>
        <v>-5471.14</v>
      </c>
      <c r="F134" s="95">
        <f t="shared" si="36"/>
        <v>-5471.14</v>
      </c>
      <c r="G134" s="95">
        <f t="shared" si="36"/>
        <v>40345.01</v>
      </c>
      <c r="H134" s="95">
        <f t="shared" si="36"/>
        <v>-5471.14</v>
      </c>
      <c r="I134" s="95">
        <f t="shared" si="36"/>
        <v>-5471.14</v>
      </c>
      <c r="J134" s="95">
        <f t="shared" si="36"/>
        <v>40345.01</v>
      </c>
      <c r="K134" s="95">
        <f t="shared" si="36"/>
        <v>-5471.14</v>
      </c>
      <c r="L134" s="95">
        <f t="shared" si="36"/>
        <v>-5471.14</v>
      </c>
      <c r="M134" s="95">
        <f t="shared" si="36"/>
        <v>40345.01</v>
      </c>
      <c r="N134" s="95">
        <f t="shared" si="36"/>
        <v>-5471.14</v>
      </c>
      <c r="O134" s="95">
        <f t="shared" si="36"/>
        <v>-5471.14</v>
      </c>
      <c r="P134" s="94">
        <f>SUM(D134:O134)</f>
        <v>117610.92000000001</v>
      </c>
      <c r="Q134" s="94">
        <f t="shared" si="10"/>
        <v>39610.920000000013</v>
      </c>
      <c r="R134" s="149">
        <f t="shared" si="35"/>
        <v>0.5078323076923078</v>
      </c>
    </row>
    <row r="135" spans="1:19" s="87" customFormat="1" x14ac:dyDescent="0.25">
      <c r="A135" s="6" t="s">
        <v>120</v>
      </c>
      <c r="B135" s="3" t="s">
        <v>121</v>
      </c>
      <c r="C135" s="96">
        <f t="shared" ref="C135:O135" si="37">SUM(C134:C134)</f>
        <v>78000</v>
      </c>
      <c r="D135" s="96">
        <f t="shared" si="37"/>
        <v>40345.01</v>
      </c>
      <c r="E135" s="96">
        <f t="shared" si="37"/>
        <v>-5471.14</v>
      </c>
      <c r="F135" s="96">
        <f t="shared" si="37"/>
        <v>-5471.14</v>
      </c>
      <c r="G135" s="96">
        <f t="shared" si="37"/>
        <v>40345.01</v>
      </c>
      <c r="H135" s="96">
        <f t="shared" si="37"/>
        <v>-5471.14</v>
      </c>
      <c r="I135" s="96">
        <f t="shared" si="37"/>
        <v>-5471.14</v>
      </c>
      <c r="J135" s="96">
        <f t="shared" si="37"/>
        <v>40345.01</v>
      </c>
      <c r="K135" s="96">
        <f t="shared" si="37"/>
        <v>-5471.14</v>
      </c>
      <c r="L135" s="96">
        <f t="shared" si="37"/>
        <v>-5471.14</v>
      </c>
      <c r="M135" s="96">
        <f t="shared" si="37"/>
        <v>40345.01</v>
      </c>
      <c r="N135" s="96">
        <f t="shared" si="37"/>
        <v>-5471.14</v>
      </c>
      <c r="O135" s="96">
        <f t="shared" si="37"/>
        <v>-5471.14</v>
      </c>
      <c r="P135" s="96">
        <f>SUM(P134:P134)</f>
        <v>117610.92000000001</v>
      </c>
      <c r="Q135" s="96">
        <f t="shared" si="10"/>
        <v>39610.920000000013</v>
      </c>
      <c r="R135" s="149">
        <f t="shared" si="35"/>
        <v>0.5078323076923078</v>
      </c>
    </row>
    <row r="136" spans="1:19" s="87" customFormat="1" x14ac:dyDescent="0.25">
      <c r="A136" s="6"/>
      <c r="B136" s="3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 t="str">
        <f t="shared" ref="Q136:Q185" si="38">IF(C136&lt;&gt;"",P136-C136,"")</f>
        <v/>
      </c>
      <c r="R136" s="149" t="str">
        <f t="shared" si="35"/>
        <v/>
      </c>
    </row>
    <row r="137" spans="1:19" s="138" customFormat="1" x14ac:dyDescent="0.25">
      <c r="A137" s="136"/>
      <c r="B137" s="137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49" t="str">
        <f t="shared" si="35"/>
        <v/>
      </c>
    </row>
    <row r="138" spans="1:19" s="138" customFormat="1" x14ac:dyDescent="0.25">
      <c r="A138" s="136" t="s">
        <v>126</v>
      </c>
      <c r="B138" s="137" t="s">
        <v>127</v>
      </c>
      <c r="C138" s="139">
        <v>0</v>
      </c>
      <c r="D138" s="139">
        <v>0</v>
      </c>
      <c r="E138" s="139">
        <v>0</v>
      </c>
      <c r="F138" s="139">
        <v>3691</v>
      </c>
      <c r="G138" s="139">
        <v>0</v>
      </c>
      <c r="H138" s="139">
        <v>0</v>
      </c>
      <c r="I138" s="139">
        <v>3691</v>
      </c>
      <c r="J138" s="139">
        <v>0</v>
      </c>
      <c r="K138" s="139">
        <v>0</v>
      </c>
      <c r="L138" s="139">
        <v>3691</v>
      </c>
      <c r="M138" s="139">
        <v>0</v>
      </c>
      <c r="N138" s="139">
        <v>0</v>
      </c>
      <c r="O138" s="139">
        <v>3691</v>
      </c>
      <c r="P138" s="140">
        <f>SUM(D138:O138)</f>
        <v>14764</v>
      </c>
      <c r="Q138" s="140">
        <f t="shared" si="38"/>
        <v>14764</v>
      </c>
      <c r="R138" s="149" t="str">
        <f t="shared" si="35"/>
        <v/>
      </c>
      <c r="S138" s="141" t="s">
        <v>474</v>
      </c>
    </row>
    <row r="139" spans="1:19" s="138" customFormat="1" x14ac:dyDescent="0.25">
      <c r="A139" s="136" t="s">
        <v>277</v>
      </c>
      <c r="B139" s="137" t="s">
        <v>370</v>
      </c>
      <c r="C139" s="139">
        <v>0</v>
      </c>
      <c r="D139" s="139">
        <v>0</v>
      </c>
      <c r="E139" s="139">
        <v>0</v>
      </c>
      <c r="F139" s="139">
        <v>0</v>
      </c>
      <c r="G139" s="139">
        <v>0</v>
      </c>
      <c r="H139" s="139">
        <v>0</v>
      </c>
      <c r="I139" s="139">
        <v>0</v>
      </c>
      <c r="J139" s="139">
        <v>0</v>
      </c>
      <c r="K139" s="139">
        <v>0</v>
      </c>
      <c r="L139" s="139">
        <v>0</v>
      </c>
      <c r="M139" s="139">
        <v>0</v>
      </c>
      <c r="N139" s="139">
        <v>0</v>
      </c>
      <c r="O139" s="139">
        <v>0</v>
      </c>
      <c r="P139" s="140">
        <f>SUM(D139:O139)</f>
        <v>0</v>
      </c>
      <c r="Q139" s="140">
        <f t="shared" si="38"/>
        <v>0</v>
      </c>
      <c r="R139" s="149" t="str">
        <f t="shared" si="35"/>
        <v/>
      </c>
    </row>
    <row r="140" spans="1:19" s="138" customFormat="1" ht="15.75" thickBot="1" x14ac:dyDescent="0.3">
      <c r="A140" s="136" t="s">
        <v>134</v>
      </c>
      <c r="B140" s="137" t="s">
        <v>135</v>
      </c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>
        <f>_xlfn.IFNA(VLOOKUP(A140,'Op Budget 2016'!$C$15:$Q$53,15,FALSE),)</f>
        <v>0</v>
      </c>
      <c r="Q140" s="140" t="str">
        <f t="shared" si="38"/>
        <v/>
      </c>
      <c r="R140" s="149" t="str">
        <f t="shared" si="35"/>
        <v/>
      </c>
    </row>
    <row r="141" spans="1:19" s="141" customFormat="1" x14ac:dyDescent="0.25">
      <c r="A141" s="142" t="s">
        <v>136</v>
      </c>
      <c r="B141" s="143" t="s">
        <v>137</v>
      </c>
      <c r="C141" s="144">
        <f t="shared" ref="C141" si="39">SUM(C138:C140)</f>
        <v>0</v>
      </c>
      <c r="D141" s="144">
        <f t="shared" ref="D141:O141" si="40">SUM(D138:D140)</f>
        <v>0</v>
      </c>
      <c r="E141" s="144">
        <f>SUM(E138:E140)</f>
        <v>0</v>
      </c>
      <c r="F141" s="144">
        <f t="shared" si="40"/>
        <v>3691</v>
      </c>
      <c r="G141" s="144">
        <f t="shared" si="40"/>
        <v>0</v>
      </c>
      <c r="H141" s="144">
        <f t="shared" si="40"/>
        <v>0</v>
      </c>
      <c r="I141" s="144">
        <f t="shared" si="40"/>
        <v>3691</v>
      </c>
      <c r="J141" s="144">
        <f t="shared" si="40"/>
        <v>0</v>
      </c>
      <c r="K141" s="144">
        <f t="shared" si="40"/>
        <v>0</v>
      </c>
      <c r="L141" s="144">
        <f t="shared" si="40"/>
        <v>3691</v>
      </c>
      <c r="M141" s="144">
        <f t="shared" si="40"/>
        <v>0</v>
      </c>
      <c r="N141" s="144">
        <f t="shared" si="40"/>
        <v>0</v>
      </c>
      <c r="O141" s="144">
        <f t="shared" si="40"/>
        <v>3691</v>
      </c>
      <c r="P141" s="144">
        <f>SUM(P138:P140)</f>
        <v>14764</v>
      </c>
      <c r="Q141" s="144">
        <f t="shared" si="38"/>
        <v>14764</v>
      </c>
      <c r="R141" s="149" t="str">
        <f t="shared" si="35"/>
        <v/>
      </c>
    </row>
    <row r="142" spans="1:19" x14ac:dyDescent="0.25">
      <c r="A142" s="88"/>
      <c r="B142" s="3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 t="str">
        <f t="shared" si="38"/>
        <v/>
      </c>
      <c r="R142" s="149" t="str">
        <f t="shared" si="35"/>
        <v/>
      </c>
    </row>
    <row r="143" spans="1:19" x14ac:dyDescent="0.25">
      <c r="A143" s="88"/>
      <c r="B143" s="3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 t="str">
        <f t="shared" si="38"/>
        <v/>
      </c>
      <c r="R143" s="149" t="str">
        <f t="shared" si="35"/>
        <v/>
      </c>
    </row>
    <row r="144" spans="1:19" x14ac:dyDescent="0.25">
      <c r="A144" s="1" t="s">
        <v>130</v>
      </c>
      <c r="B144" s="5" t="s">
        <v>131</v>
      </c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 t="str">
        <f t="shared" si="38"/>
        <v/>
      </c>
      <c r="R144" s="149" t="str">
        <f t="shared" si="35"/>
        <v/>
      </c>
    </row>
    <row r="145" spans="1:31" x14ac:dyDescent="0.25">
      <c r="A145" s="1" t="s">
        <v>132</v>
      </c>
      <c r="B145" s="5" t="s">
        <v>133</v>
      </c>
      <c r="C145" s="95">
        <v>0</v>
      </c>
      <c r="D145" s="95">
        <v>0</v>
      </c>
      <c r="E145" s="95">
        <v>0</v>
      </c>
      <c r="F145" s="95">
        <v>0</v>
      </c>
      <c r="G145" s="95">
        <v>0</v>
      </c>
      <c r="H145" s="95">
        <f>$P$145/2</f>
        <v>0</v>
      </c>
      <c r="I145" s="95">
        <f>$P$145/2</f>
        <v>0</v>
      </c>
      <c r="J145" s="95">
        <v>0</v>
      </c>
      <c r="K145" s="95">
        <v>0</v>
      </c>
      <c r="L145" s="95">
        <v>0</v>
      </c>
      <c r="M145" s="95">
        <v>0</v>
      </c>
      <c r="N145" s="95">
        <v>0</v>
      </c>
      <c r="O145" s="95">
        <v>0</v>
      </c>
      <c r="P145" s="94">
        <v>0</v>
      </c>
      <c r="Q145" s="94">
        <f t="shared" si="38"/>
        <v>0</v>
      </c>
      <c r="R145" s="149" t="str">
        <f t="shared" si="35"/>
        <v/>
      </c>
      <c r="S145" t="s">
        <v>477</v>
      </c>
    </row>
    <row r="146" spans="1:31" x14ac:dyDescent="0.25">
      <c r="A146" s="1" t="s">
        <v>277</v>
      </c>
      <c r="B146" s="5" t="s">
        <v>370</v>
      </c>
      <c r="C146" s="95">
        <v>0</v>
      </c>
      <c r="D146" s="95">
        <v>0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4">
        <f>SUM(D146:O146)</f>
        <v>0</v>
      </c>
      <c r="Q146" s="94">
        <f t="shared" si="38"/>
        <v>0</v>
      </c>
      <c r="R146" s="149" t="str">
        <f t="shared" si="35"/>
        <v/>
      </c>
    </row>
    <row r="147" spans="1:31" ht="15.75" thickBot="1" x14ac:dyDescent="0.3">
      <c r="A147" s="1" t="s">
        <v>134</v>
      </c>
      <c r="B147" s="5" t="s">
        <v>135</v>
      </c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>
        <f>_xlfn.IFNA(VLOOKUP(A147,'Op Budget 2016'!$C$15:$Q$53,15,FALSE),)</f>
        <v>0</v>
      </c>
      <c r="Q147" s="94" t="str">
        <f t="shared" si="38"/>
        <v/>
      </c>
      <c r="R147" s="149" t="str">
        <f t="shared" si="35"/>
        <v/>
      </c>
    </row>
    <row r="148" spans="1:31" s="87" customFormat="1" x14ac:dyDescent="0.25">
      <c r="A148" s="6" t="s">
        <v>136</v>
      </c>
      <c r="B148" s="3" t="s">
        <v>137</v>
      </c>
      <c r="C148" s="96">
        <f t="shared" ref="C148" si="41">SUM(C145:C147)</f>
        <v>0</v>
      </c>
      <c r="D148" s="96">
        <f t="shared" ref="D148:O148" si="42">SUM(D145:D147)</f>
        <v>0</v>
      </c>
      <c r="E148" s="96">
        <f t="shared" si="42"/>
        <v>0</v>
      </c>
      <c r="F148" s="96">
        <f t="shared" si="42"/>
        <v>0</v>
      </c>
      <c r="G148" s="96">
        <f t="shared" si="42"/>
        <v>0</v>
      </c>
      <c r="H148" s="96">
        <f t="shared" si="42"/>
        <v>0</v>
      </c>
      <c r="I148" s="96">
        <f t="shared" si="42"/>
        <v>0</v>
      </c>
      <c r="J148" s="96">
        <f t="shared" si="42"/>
        <v>0</v>
      </c>
      <c r="K148" s="96">
        <f t="shared" si="42"/>
        <v>0</v>
      </c>
      <c r="L148" s="96">
        <f t="shared" si="42"/>
        <v>0</v>
      </c>
      <c r="M148" s="96">
        <f t="shared" si="42"/>
        <v>0</v>
      </c>
      <c r="N148" s="96">
        <f t="shared" si="42"/>
        <v>0</v>
      </c>
      <c r="O148" s="96">
        <f t="shared" si="42"/>
        <v>0</v>
      </c>
      <c r="P148" s="96">
        <f>SUM(P145:P147)</f>
        <v>0</v>
      </c>
      <c r="Q148" s="96">
        <f t="shared" si="38"/>
        <v>0</v>
      </c>
      <c r="R148" s="149" t="str">
        <f t="shared" si="35"/>
        <v/>
      </c>
    </row>
    <row r="149" spans="1:31" ht="15.75" thickBot="1" x14ac:dyDescent="0.3">
      <c r="A149" s="1"/>
      <c r="B149" s="5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 t="str">
        <f t="shared" si="38"/>
        <v/>
      </c>
      <c r="R149" s="149" t="str">
        <f t="shared" si="35"/>
        <v/>
      </c>
    </row>
    <row r="150" spans="1:31" s="87" customFormat="1" x14ac:dyDescent="0.25">
      <c r="A150" s="6" t="s">
        <v>138</v>
      </c>
      <c r="B150" s="3" t="s">
        <v>139</v>
      </c>
      <c r="C150" s="96">
        <f>SUM(C148,C141,C135)</f>
        <v>78000</v>
      </c>
      <c r="D150" s="96">
        <f>SUM(D148,D141,D135)</f>
        <v>40345.01</v>
      </c>
      <c r="E150" s="96">
        <f t="shared" ref="E150:P150" si="43">SUM(E148,E141,E135)</f>
        <v>-5471.14</v>
      </c>
      <c r="F150" s="96">
        <f t="shared" si="43"/>
        <v>-1780.1400000000003</v>
      </c>
      <c r="G150" s="96">
        <f t="shared" si="43"/>
        <v>40345.01</v>
      </c>
      <c r="H150" s="96">
        <f t="shared" si="43"/>
        <v>-5471.14</v>
      </c>
      <c r="I150" s="96">
        <f t="shared" si="43"/>
        <v>-1780.1400000000003</v>
      </c>
      <c r="J150" s="96">
        <f t="shared" si="43"/>
        <v>40345.01</v>
      </c>
      <c r="K150" s="96">
        <f t="shared" si="43"/>
        <v>-5471.14</v>
      </c>
      <c r="L150" s="96">
        <f t="shared" si="43"/>
        <v>-1780.1400000000003</v>
      </c>
      <c r="M150" s="96">
        <f t="shared" si="43"/>
        <v>40345.01</v>
      </c>
      <c r="N150" s="96">
        <f t="shared" si="43"/>
        <v>-5471.14</v>
      </c>
      <c r="O150" s="96">
        <f t="shared" si="43"/>
        <v>-1780.1400000000003</v>
      </c>
      <c r="P150" s="96">
        <f t="shared" si="43"/>
        <v>132374.92000000001</v>
      </c>
      <c r="Q150" s="96">
        <f t="shared" si="38"/>
        <v>54374.920000000013</v>
      </c>
      <c r="R150" s="149">
        <f t="shared" si="35"/>
        <v>0.69711435897435914</v>
      </c>
    </row>
    <row r="151" spans="1:31" x14ac:dyDescent="0.25">
      <c r="A151" s="1"/>
      <c r="B151" s="5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 t="str">
        <f t="shared" si="38"/>
        <v/>
      </c>
      <c r="R151" s="149" t="str">
        <f t="shared" si="35"/>
        <v/>
      </c>
    </row>
    <row r="152" spans="1:31" x14ac:dyDescent="0.25">
      <c r="A152" s="1" t="s">
        <v>140</v>
      </c>
      <c r="B152" s="5" t="s">
        <v>141</v>
      </c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 t="str">
        <f t="shared" si="38"/>
        <v/>
      </c>
      <c r="R152" s="149" t="str">
        <f t="shared" si="35"/>
        <v/>
      </c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</row>
    <row r="153" spans="1:31" x14ac:dyDescent="0.25">
      <c r="A153" s="1" t="s">
        <v>271</v>
      </c>
      <c r="B153" s="5" t="s">
        <v>369</v>
      </c>
      <c r="C153" s="94">
        <v>-51769</v>
      </c>
      <c r="D153" s="94">
        <v>-4905.1299999999992</v>
      </c>
      <c r="E153" s="94">
        <v>-4921.4799999999996</v>
      </c>
      <c r="F153" s="94">
        <v>-4937.8799999999992</v>
      </c>
      <c r="G153" s="94">
        <v>-4954.3399999999983</v>
      </c>
      <c r="H153" s="94">
        <v>-4970.8599999999988</v>
      </c>
      <c r="I153" s="94">
        <v>-4987.4199999999983</v>
      </c>
      <c r="J153" s="94">
        <v>-5004.0499999999993</v>
      </c>
      <c r="K153" s="94">
        <v>-5020.7299999999996</v>
      </c>
      <c r="L153" s="94">
        <v>-5037.4699999999993</v>
      </c>
      <c r="M153" s="94">
        <v>-5054.2599999999984</v>
      </c>
      <c r="N153" s="94">
        <v>-5071.0999999999985</v>
      </c>
      <c r="O153" s="94">
        <v>-5088.0099999999984</v>
      </c>
      <c r="P153" s="94">
        <f>SUM(D153:O153)</f>
        <v>-59952.729999999981</v>
      </c>
      <c r="Q153" s="94">
        <f t="shared" si="38"/>
        <v>-8183.7299999999814</v>
      </c>
      <c r="R153" s="149">
        <f t="shared" si="35"/>
        <v>0.1580816704977879</v>
      </c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</row>
    <row r="154" spans="1:31" ht="15.75" thickBot="1" x14ac:dyDescent="0.3">
      <c r="A154" s="1" t="s">
        <v>144</v>
      </c>
      <c r="B154" s="5" t="s">
        <v>145</v>
      </c>
      <c r="C154" s="95"/>
      <c r="D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4">
        <f t="shared" ref="P154" si="44">SUM(D154:O154)</f>
        <v>0</v>
      </c>
      <c r="Q154" s="94" t="str">
        <f t="shared" si="38"/>
        <v/>
      </c>
      <c r="R154" s="149" t="str">
        <f t="shared" si="35"/>
        <v/>
      </c>
      <c r="S154" s="5"/>
    </row>
    <row r="155" spans="1:31" s="87" customFormat="1" x14ac:dyDescent="0.25">
      <c r="A155" s="6" t="s">
        <v>146</v>
      </c>
      <c r="B155" s="3" t="s">
        <v>147</v>
      </c>
      <c r="C155" s="96">
        <f t="shared" ref="C155:P155" si="45">SUM(C153:C154)</f>
        <v>-51769</v>
      </c>
      <c r="D155" s="96">
        <f t="shared" si="45"/>
        <v>-4905.1299999999992</v>
      </c>
      <c r="E155" s="96">
        <f t="shared" si="45"/>
        <v>-4921.4799999999996</v>
      </c>
      <c r="F155" s="96">
        <f t="shared" si="45"/>
        <v>-4937.8799999999992</v>
      </c>
      <c r="G155" s="96">
        <f t="shared" si="45"/>
        <v>-4954.3399999999983</v>
      </c>
      <c r="H155" s="96">
        <f t="shared" si="45"/>
        <v>-4970.8599999999988</v>
      </c>
      <c r="I155" s="96">
        <f t="shared" si="45"/>
        <v>-4987.4199999999983</v>
      </c>
      <c r="J155" s="96">
        <f t="shared" si="45"/>
        <v>-5004.0499999999993</v>
      </c>
      <c r="K155" s="96">
        <f t="shared" si="45"/>
        <v>-5020.7299999999996</v>
      </c>
      <c r="L155" s="96">
        <f t="shared" si="45"/>
        <v>-5037.4699999999993</v>
      </c>
      <c r="M155" s="96">
        <f t="shared" si="45"/>
        <v>-5054.2599999999984</v>
      </c>
      <c r="N155" s="96">
        <f t="shared" si="45"/>
        <v>-5071.0999999999985</v>
      </c>
      <c r="O155" s="96">
        <f t="shared" si="45"/>
        <v>-5088.0099999999984</v>
      </c>
      <c r="P155" s="96">
        <f t="shared" si="45"/>
        <v>-59952.729999999981</v>
      </c>
      <c r="Q155" s="96">
        <f t="shared" si="38"/>
        <v>-8183.7299999999814</v>
      </c>
      <c r="R155" s="149">
        <f t="shared" si="35"/>
        <v>0.1580816704977879</v>
      </c>
    </row>
    <row r="156" spans="1:31" x14ac:dyDescent="0.25">
      <c r="A156" s="1"/>
      <c r="B156" s="5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94"/>
      <c r="Q156" s="94" t="str">
        <f t="shared" si="38"/>
        <v/>
      </c>
      <c r="R156" s="149" t="str">
        <f t="shared" si="35"/>
        <v/>
      </c>
    </row>
    <row r="157" spans="1:31" x14ac:dyDescent="0.25">
      <c r="A157" s="1" t="s">
        <v>148</v>
      </c>
      <c r="B157" s="5" t="s">
        <v>149</v>
      </c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 t="str">
        <f t="shared" si="38"/>
        <v/>
      </c>
      <c r="R157" s="149" t="str">
        <f t="shared" si="35"/>
        <v/>
      </c>
    </row>
    <row r="158" spans="1:31" outlineLevel="1" x14ac:dyDescent="0.25">
      <c r="A158" s="7" t="s">
        <v>408</v>
      </c>
      <c r="B158" s="5" t="s">
        <v>409</v>
      </c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 t="str">
        <f t="shared" si="38"/>
        <v/>
      </c>
      <c r="R158" s="149" t="str">
        <f t="shared" si="35"/>
        <v/>
      </c>
    </row>
    <row r="159" spans="1:31" outlineLevel="1" x14ac:dyDescent="0.25">
      <c r="A159" s="7" t="s">
        <v>410</v>
      </c>
      <c r="B159" s="5" t="s">
        <v>411</v>
      </c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 t="str">
        <f t="shared" si="38"/>
        <v/>
      </c>
      <c r="R159" s="149" t="str">
        <f t="shared" si="35"/>
        <v/>
      </c>
    </row>
    <row r="160" spans="1:31" outlineLevel="1" x14ac:dyDescent="0.25">
      <c r="A160" s="7" t="s">
        <v>150</v>
      </c>
      <c r="B160" s="5" t="s">
        <v>412</v>
      </c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 t="str">
        <f t="shared" si="38"/>
        <v/>
      </c>
      <c r="R160" s="149" t="str">
        <f t="shared" si="35"/>
        <v/>
      </c>
    </row>
    <row r="161" spans="1:18" outlineLevel="1" x14ac:dyDescent="0.25">
      <c r="A161" s="7" t="s">
        <v>151</v>
      </c>
      <c r="B161" s="5" t="s">
        <v>413</v>
      </c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 t="str">
        <f t="shared" si="38"/>
        <v/>
      </c>
      <c r="R161" s="149" t="str">
        <f t="shared" si="35"/>
        <v/>
      </c>
    </row>
    <row r="162" spans="1:18" outlineLevel="1" x14ac:dyDescent="0.25">
      <c r="A162" s="7" t="s">
        <v>152</v>
      </c>
      <c r="B162" s="5" t="s">
        <v>414</v>
      </c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 t="str">
        <f t="shared" si="38"/>
        <v/>
      </c>
      <c r="R162" s="149" t="str">
        <f t="shared" si="35"/>
        <v/>
      </c>
    </row>
    <row r="163" spans="1:18" outlineLevel="1" x14ac:dyDescent="0.25">
      <c r="A163" s="7" t="s">
        <v>415</v>
      </c>
      <c r="B163" s="5" t="s">
        <v>416</v>
      </c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 t="str">
        <f t="shared" si="38"/>
        <v/>
      </c>
      <c r="R163" s="149" t="str">
        <f t="shared" si="35"/>
        <v/>
      </c>
    </row>
    <row r="164" spans="1:18" outlineLevel="1" x14ac:dyDescent="0.25">
      <c r="A164" s="7" t="s">
        <v>417</v>
      </c>
      <c r="B164" s="5" t="s">
        <v>418</v>
      </c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 t="str">
        <f t="shared" si="38"/>
        <v/>
      </c>
      <c r="R164" s="149" t="str">
        <f t="shared" si="35"/>
        <v/>
      </c>
    </row>
    <row r="165" spans="1:18" outlineLevel="1" x14ac:dyDescent="0.25">
      <c r="A165" s="7" t="s">
        <v>419</v>
      </c>
      <c r="B165" s="5" t="s">
        <v>420</v>
      </c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 t="str">
        <f t="shared" si="38"/>
        <v/>
      </c>
      <c r="R165" s="149" t="str">
        <f t="shared" si="35"/>
        <v/>
      </c>
    </row>
    <row r="166" spans="1:18" outlineLevel="1" x14ac:dyDescent="0.25">
      <c r="A166" s="7" t="s">
        <v>421</v>
      </c>
      <c r="B166" s="5" t="s">
        <v>422</v>
      </c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 t="str">
        <f t="shared" si="38"/>
        <v/>
      </c>
      <c r="R166" s="149" t="str">
        <f t="shared" si="35"/>
        <v/>
      </c>
    </row>
    <row r="167" spans="1:18" outlineLevel="1" x14ac:dyDescent="0.25">
      <c r="A167" s="7" t="s">
        <v>423</v>
      </c>
      <c r="B167" s="5" t="s">
        <v>424</v>
      </c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 t="str">
        <f t="shared" si="38"/>
        <v/>
      </c>
      <c r="R167" s="149" t="str">
        <f t="shared" si="35"/>
        <v/>
      </c>
    </row>
    <row r="168" spans="1:18" outlineLevel="1" x14ac:dyDescent="0.25">
      <c r="A168" s="7" t="s">
        <v>425</v>
      </c>
      <c r="B168" s="5" t="s">
        <v>426</v>
      </c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 t="str">
        <f t="shared" si="38"/>
        <v/>
      </c>
      <c r="R168" s="149" t="str">
        <f t="shared" si="35"/>
        <v/>
      </c>
    </row>
    <row r="169" spans="1:18" outlineLevel="1" x14ac:dyDescent="0.25">
      <c r="A169" s="7" t="s">
        <v>427</v>
      </c>
      <c r="B169" s="5" t="s">
        <v>428</v>
      </c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 t="str">
        <f t="shared" si="38"/>
        <v/>
      </c>
      <c r="R169" s="149" t="str">
        <f t="shared" si="35"/>
        <v/>
      </c>
    </row>
    <row r="170" spans="1:18" outlineLevel="1" x14ac:dyDescent="0.25">
      <c r="A170" s="7" t="s">
        <v>429</v>
      </c>
      <c r="B170" s="5" t="s">
        <v>430</v>
      </c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 t="str">
        <f t="shared" si="38"/>
        <v/>
      </c>
      <c r="R170" s="149" t="str">
        <f t="shared" si="35"/>
        <v/>
      </c>
    </row>
    <row r="171" spans="1:18" outlineLevel="1" x14ac:dyDescent="0.25">
      <c r="A171" s="7" t="s">
        <v>431</v>
      </c>
      <c r="B171" s="5" t="s">
        <v>432</v>
      </c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 t="str">
        <f t="shared" si="38"/>
        <v/>
      </c>
      <c r="R171" s="149" t="str">
        <f t="shared" si="35"/>
        <v/>
      </c>
    </row>
    <row r="172" spans="1:18" outlineLevel="1" x14ac:dyDescent="0.25">
      <c r="A172" s="7" t="s">
        <v>433</v>
      </c>
      <c r="B172" s="5" t="s">
        <v>434</v>
      </c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 t="str">
        <f t="shared" si="38"/>
        <v/>
      </c>
      <c r="R172" s="149" t="str">
        <f t="shared" si="35"/>
        <v/>
      </c>
    </row>
    <row r="173" spans="1:18" outlineLevel="1" x14ac:dyDescent="0.25">
      <c r="A173" s="7" t="s">
        <v>435</v>
      </c>
      <c r="B173" s="5" t="s">
        <v>436</v>
      </c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 t="str">
        <f t="shared" si="38"/>
        <v/>
      </c>
      <c r="R173" s="149" t="str">
        <f t="shared" si="35"/>
        <v/>
      </c>
    </row>
    <row r="174" spans="1:18" outlineLevel="1" x14ac:dyDescent="0.25">
      <c r="A174" s="7" t="s">
        <v>437</v>
      </c>
      <c r="B174" s="5" t="s">
        <v>438</v>
      </c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 t="str">
        <f t="shared" si="38"/>
        <v/>
      </c>
      <c r="R174" s="149" t="str">
        <f t="shared" si="35"/>
        <v/>
      </c>
    </row>
    <row r="175" spans="1:18" ht="15.75" outlineLevel="1" thickBot="1" x14ac:dyDescent="0.3">
      <c r="A175" s="7" t="s">
        <v>439</v>
      </c>
      <c r="B175" s="5" t="s">
        <v>440</v>
      </c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 t="str">
        <f t="shared" si="38"/>
        <v/>
      </c>
      <c r="R175" s="149" t="str">
        <f t="shared" si="35"/>
        <v/>
      </c>
    </row>
    <row r="176" spans="1:18" s="87" customFormat="1" x14ac:dyDescent="0.25">
      <c r="A176" s="6" t="s">
        <v>153</v>
      </c>
      <c r="B176" s="3" t="s">
        <v>154</v>
      </c>
      <c r="C176" s="96">
        <f t="shared" ref="C176:P176" si="46">SUM(C158:C175)</f>
        <v>0</v>
      </c>
      <c r="D176" s="96">
        <f t="shared" si="46"/>
        <v>0</v>
      </c>
      <c r="E176" s="96">
        <f t="shared" si="46"/>
        <v>0</v>
      </c>
      <c r="F176" s="96">
        <f t="shared" si="46"/>
        <v>0</v>
      </c>
      <c r="G176" s="96">
        <f t="shared" si="46"/>
        <v>0</v>
      </c>
      <c r="H176" s="96">
        <f t="shared" si="46"/>
        <v>0</v>
      </c>
      <c r="I176" s="96">
        <f t="shared" si="46"/>
        <v>0</v>
      </c>
      <c r="J176" s="96">
        <f t="shared" si="46"/>
        <v>0</v>
      </c>
      <c r="K176" s="96">
        <f t="shared" si="46"/>
        <v>0</v>
      </c>
      <c r="L176" s="96">
        <f t="shared" si="46"/>
        <v>0</v>
      </c>
      <c r="M176" s="96">
        <f t="shared" si="46"/>
        <v>0</v>
      </c>
      <c r="N176" s="96">
        <f t="shared" si="46"/>
        <v>0</v>
      </c>
      <c r="O176" s="96">
        <f t="shared" si="46"/>
        <v>0</v>
      </c>
      <c r="P176" s="96">
        <f t="shared" si="46"/>
        <v>0</v>
      </c>
      <c r="Q176" s="96">
        <f t="shared" si="38"/>
        <v>0</v>
      </c>
      <c r="R176" s="149" t="str">
        <f t="shared" si="35"/>
        <v/>
      </c>
    </row>
    <row r="177" spans="1:28" x14ac:dyDescent="0.25">
      <c r="A177" s="1"/>
      <c r="B177" s="5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 t="str">
        <f t="shared" si="38"/>
        <v/>
      </c>
      <c r="R177" s="149" t="str">
        <f t="shared" si="35"/>
        <v/>
      </c>
    </row>
    <row r="178" spans="1:28" x14ac:dyDescent="0.25">
      <c r="A178" s="1" t="s">
        <v>155</v>
      </c>
      <c r="B178" s="5" t="s">
        <v>156</v>
      </c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 t="str">
        <f t="shared" si="38"/>
        <v/>
      </c>
      <c r="R178" s="149" t="str">
        <f t="shared" si="35"/>
        <v/>
      </c>
    </row>
    <row r="179" spans="1:28" outlineLevel="1" x14ac:dyDescent="0.25">
      <c r="A179" s="162" t="s">
        <v>157</v>
      </c>
      <c r="B179" s="5" t="s">
        <v>482</v>
      </c>
      <c r="C179" s="94">
        <v>-66352.800000000003</v>
      </c>
      <c r="D179" s="94">
        <f>VLOOKUP($A$179,Distributions!$A$4:$F$7,6,FALSE)</f>
        <v>-80</v>
      </c>
      <c r="E179" s="94">
        <f>VLOOKUP($A$179,Distributions!$A$4:$F$7,6,FALSE)</f>
        <v>-80</v>
      </c>
      <c r="F179" s="94">
        <f>VLOOKUP($A$179,Distributions!$A$4:$F$7,6,FALSE)</f>
        <v>-80</v>
      </c>
      <c r="G179" s="94">
        <f>VLOOKUP($A$179,Distributions!$A$4:$F$7,6,FALSE)</f>
        <v>-80</v>
      </c>
      <c r="H179" s="94">
        <f>VLOOKUP($A$179,Distributions!$A$4:$F$7,6,FALSE)</f>
        <v>-80</v>
      </c>
      <c r="I179" s="94">
        <f>VLOOKUP($A$179,Distributions!$A$4:$F$7,6,FALSE)</f>
        <v>-80</v>
      </c>
      <c r="J179" s="94">
        <f>VLOOKUP($A$179,Distributions!$A$4:$F$7,6,FALSE)</f>
        <v>-80</v>
      </c>
      <c r="K179" s="94">
        <f>VLOOKUP($A$179,Distributions!$A$4:$F$7,6,FALSE)</f>
        <v>-80</v>
      </c>
      <c r="L179" s="94">
        <f>VLOOKUP($A$179,Distributions!$A$4:$F$7,6,FALSE)</f>
        <v>-80</v>
      </c>
      <c r="M179" s="94">
        <f>VLOOKUP($A$179,Distributions!$A$4:$F$7,6,FALSE)</f>
        <v>-80</v>
      </c>
      <c r="N179" s="94">
        <f>VLOOKUP($A$179,Distributions!$A$4:$F$7,6,FALSE)</f>
        <v>-80</v>
      </c>
      <c r="O179" s="94">
        <f>VLOOKUP($A$179,Distributions!$A$4:$F$7,6,FALSE)</f>
        <v>-80</v>
      </c>
      <c r="P179" s="94">
        <f t="shared" ref="P179:P182" si="47">SUM(D179:O179)</f>
        <v>-960</v>
      </c>
      <c r="Q179" s="94">
        <f t="shared" si="38"/>
        <v>65392.800000000003</v>
      </c>
      <c r="R179" s="149">
        <f t="shared" si="35"/>
        <v>-0.98553188411039172</v>
      </c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</row>
    <row r="180" spans="1:28" outlineLevel="1" x14ac:dyDescent="0.25">
      <c r="A180" s="162" t="s">
        <v>491</v>
      </c>
      <c r="B180" s="5" t="s">
        <v>492</v>
      </c>
      <c r="C180" s="94">
        <v>-8472</v>
      </c>
      <c r="D180" s="94">
        <f>VLOOKUP($A$180,Distributions!$A$4:$F$7,6,FALSE)</f>
        <v>-1960</v>
      </c>
      <c r="E180" s="94">
        <f>VLOOKUP($A$180,Distributions!$A$4:$F$7,6,FALSE)</f>
        <v>-1960</v>
      </c>
      <c r="F180" s="94">
        <f>VLOOKUP($A$180,Distributions!$A$4:$F$7,6,FALSE)</f>
        <v>-1960</v>
      </c>
      <c r="G180" s="94">
        <f>VLOOKUP($A$180,Distributions!$A$4:$F$7,6,FALSE)</f>
        <v>-1960</v>
      </c>
      <c r="H180" s="94">
        <f>VLOOKUP($A$180,Distributions!$A$4:$F$7,6,FALSE)</f>
        <v>-1960</v>
      </c>
      <c r="I180" s="94">
        <f>VLOOKUP($A$180,Distributions!$A$4:$F$7,6,FALSE)</f>
        <v>-1960</v>
      </c>
      <c r="J180" s="94">
        <f>VLOOKUP($A$180,Distributions!$A$4:$F$7,6,FALSE)</f>
        <v>-1960</v>
      </c>
      <c r="K180" s="94">
        <f>VLOOKUP($A$180,Distributions!$A$4:$F$7,6,FALSE)</f>
        <v>-1960</v>
      </c>
      <c r="L180" s="94">
        <f>VLOOKUP($A$180,Distributions!$A$4:$F$7,6,FALSE)</f>
        <v>-1960</v>
      </c>
      <c r="M180" s="94">
        <f>VLOOKUP($A$180,Distributions!$A$4:$F$7,6,FALSE)</f>
        <v>-1960</v>
      </c>
      <c r="N180" s="94">
        <f>VLOOKUP($A$180,Distributions!$A$4:$F$7,6,FALSE)</f>
        <v>-1960</v>
      </c>
      <c r="O180" s="94">
        <f>VLOOKUP($A$180,Distributions!$A$4:$F$7,6,FALSE)</f>
        <v>-1960</v>
      </c>
      <c r="P180" s="94">
        <f t="shared" si="47"/>
        <v>-23520</v>
      </c>
      <c r="Q180" s="94">
        <f t="shared" si="38"/>
        <v>-15048</v>
      </c>
      <c r="R180" s="149">
        <f t="shared" si="35"/>
        <v>1.7762039660056657</v>
      </c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</row>
    <row r="181" spans="1:28" outlineLevel="1" x14ac:dyDescent="0.25">
      <c r="A181" s="162" t="s">
        <v>493</v>
      </c>
      <c r="B181" s="5" t="s">
        <v>494</v>
      </c>
      <c r="C181" s="94">
        <v>-8472</v>
      </c>
      <c r="D181" s="94">
        <f>VLOOKUP($A$181,Distributions!$A$4:$F$7,6,FALSE)</f>
        <v>-1960</v>
      </c>
      <c r="E181" s="94">
        <f>VLOOKUP($A$181,Distributions!$A$4:$F$7,6,FALSE)</f>
        <v>-1960</v>
      </c>
      <c r="F181" s="94">
        <f>VLOOKUP($A$181,Distributions!$A$4:$F$7,6,FALSE)</f>
        <v>-1960</v>
      </c>
      <c r="G181" s="94">
        <f>VLOOKUP($A$181,Distributions!$A$4:$F$7,6,FALSE)</f>
        <v>-1960</v>
      </c>
      <c r="H181" s="94">
        <f>VLOOKUP($A$181,Distributions!$A$4:$F$7,6,FALSE)</f>
        <v>-1960</v>
      </c>
      <c r="I181" s="94">
        <f>VLOOKUP($A$181,Distributions!$A$4:$F$7,6,FALSE)</f>
        <v>-1960</v>
      </c>
      <c r="J181" s="94">
        <f>VLOOKUP($A$181,Distributions!$A$4:$F$7,6,FALSE)</f>
        <v>-1960</v>
      </c>
      <c r="K181" s="94">
        <f>VLOOKUP($A$181,Distributions!$A$4:$F$7,6,FALSE)</f>
        <v>-1960</v>
      </c>
      <c r="L181" s="94">
        <f>VLOOKUP($A$181,Distributions!$A$4:$F$7,6,FALSE)</f>
        <v>-1960</v>
      </c>
      <c r="M181" s="94">
        <f>VLOOKUP($A$181,Distributions!$A$4:$F$7,6,FALSE)</f>
        <v>-1960</v>
      </c>
      <c r="N181" s="94">
        <f>VLOOKUP($A$181,Distributions!$A$4:$F$7,6,FALSE)</f>
        <v>-1960</v>
      </c>
      <c r="O181" s="94">
        <f>VLOOKUP($A$181,Distributions!$A$4:$F$7,6,FALSE)</f>
        <v>-1960</v>
      </c>
      <c r="P181" s="94">
        <f t="shared" si="47"/>
        <v>-23520</v>
      </c>
      <c r="Q181" s="94">
        <f t="shared" si="38"/>
        <v>-15048</v>
      </c>
      <c r="R181" s="149">
        <f t="shared" si="35"/>
        <v>1.7762039660056657</v>
      </c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</row>
    <row r="182" spans="1:28" ht="15.75" outlineLevel="1" thickBot="1" x14ac:dyDescent="0.3">
      <c r="A182" s="162" t="s">
        <v>516</v>
      </c>
      <c r="B182" s="5" t="s">
        <v>518</v>
      </c>
      <c r="C182" s="94">
        <v>-8469.6</v>
      </c>
      <c r="D182" s="94">
        <f>VLOOKUP($A$182,Distributions!$A$4:$F$7,6,FALSE)</f>
        <v>-4000</v>
      </c>
      <c r="E182" s="94">
        <f>VLOOKUP($A$182,Distributions!$A$4:$F$7,6,FALSE)</f>
        <v>-4000</v>
      </c>
      <c r="F182" s="94">
        <f>VLOOKUP($A$182,Distributions!$A$4:$F$7,6,FALSE)</f>
        <v>-4000</v>
      </c>
      <c r="G182" s="94">
        <f>VLOOKUP($A$182,Distributions!$A$4:$F$7,6,FALSE)</f>
        <v>-4000</v>
      </c>
      <c r="H182" s="94">
        <f>VLOOKUP($A$182,Distributions!$A$4:$F$7,6,FALSE)</f>
        <v>-4000</v>
      </c>
      <c r="I182" s="94">
        <f>VLOOKUP($A$182,Distributions!$A$4:$F$7,6,FALSE)</f>
        <v>-4000</v>
      </c>
      <c r="J182" s="94">
        <f>VLOOKUP($A$182,Distributions!$A$4:$F$7,6,FALSE)</f>
        <v>-4000</v>
      </c>
      <c r="K182" s="94">
        <f>VLOOKUP($A$182,Distributions!$A$4:$F$7,6,FALSE)</f>
        <v>-4000</v>
      </c>
      <c r="L182" s="94">
        <f>VLOOKUP($A$182,Distributions!$A$4:$F$7,6,FALSE)</f>
        <v>-4000</v>
      </c>
      <c r="M182" s="94">
        <f>VLOOKUP($A$182,Distributions!$A$4:$F$7,6,FALSE)</f>
        <v>-4000</v>
      </c>
      <c r="N182" s="94">
        <f>VLOOKUP($A$182,Distributions!$A$4:$F$7,6,FALSE)</f>
        <v>-4000</v>
      </c>
      <c r="O182" s="94">
        <f>VLOOKUP($A$182,Distributions!$A$4:$F$7,6,FALSE)</f>
        <v>-4000</v>
      </c>
      <c r="P182" s="94">
        <f t="shared" si="47"/>
        <v>-48000</v>
      </c>
      <c r="Q182" s="94">
        <f t="shared" si="38"/>
        <v>-39530.400000000001</v>
      </c>
      <c r="R182" s="149">
        <f t="shared" si="35"/>
        <v>4.6673278549164072</v>
      </c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</row>
    <row r="183" spans="1:28" s="87" customFormat="1" x14ac:dyDescent="0.25">
      <c r="A183" s="6" t="s">
        <v>158</v>
      </c>
      <c r="B183" s="3" t="s">
        <v>159</v>
      </c>
      <c r="C183" s="96">
        <f>SUM(C179:C182)</f>
        <v>-91766.400000000009</v>
      </c>
      <c r="D183" s="96">
        <f>SUM(D179:D182)</f>
        <v>-8000</v>
      </c>
      <c r="E183" s="96">
        <f>SUM(E179:E182)</f>
        <v>-8000</v>
      </c>
      <c r="F183" s="96">
        <f>SUM(F179:F182)</f>
        <v>-8000</v>
      </c>
      <c r="G183" s="96">
        <f>SUM(G179:G182)</f>
        <v>-8000</v>
      </c>
      <c r="H183" s="96">
        <f>SUM(H179:H182)</f>
        <v>-8000</v>
      </c>
      <c r="I183" s="96">
        <f>SUM(I179:I182)</f>
        <v>-8000</v>
      </c>
      <c r="J183" s="96">
        <f>SUM(J179:J182)</f>
        <v>-8000</v>
      </c>
      <c r="K183" s="96">
        <f>SUM(K179:K182)</f>
        <v>-8000</v>
      </c>
      <c r="L183" s="96">
        <f>SUM(L179:L182)</f>
        <v>-8000</v>
      </c>
      <c r="M183" s="96">
        <f>SUM(M179:M182)</f>
        <v>-8000</v>
      </c>
      <c r="N183" s="96">
        <f>SUM(N179:N182)</f>
        <v>-8000</v>
      </c>
      <c r="O183" s="96">
        <f>SUM(O179:O182)</f>
        <v>-8000</v>
      </c>
      <c r="P183" s="96">
        <f>SUM(P179:P182)</f>
        <v>-96000</v>
      </c>
      <c r="Q183" s="96">
        <f t="shared" si="38"/>
        <v>-4233.5999999999913</v>
      </c>
      <c r="R183" s="149">
        <f t="shared" ref="R183:R188" si="48">IF(C183&lt;&gt;0,Q183/C183,"")</f>
        <v>4.6134532900930961E-2</v>
      </c>
    </row>
    <row r="184" spans="1:28" x14ac:dyDescent="0.25">
      <c r="A184" s="1"/>
      <c r="B184" s="5"/>
      <c r="C184" s="101"/>
      <c r="D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 t="str">
        <f t="shared" si="38"/>
        <v/>
      </c>
      <c r="R184" s="149" t="str">
        <f t="shared" si="48"/>
        <v/>
      </c>
    </row>
    <row r="185" spans="1:28" ht="15.75" thickBot="1" x14ac:dyDescent="0.3">
      <c r="A185" s="1"/>
      <c r="B185" s="5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 t="str">
        <f t="shared" si="38"/>
        <v/>
      </c>
      <c r="R185" s="149" t="str">
        <f t="shared" si="48"/>
        <v/>
      </c>
    </row>
    <row r="186" spans="1:28" s="87" customFormat="1" x14ac:dyDescent="0.25">
      <c r="A186" s="6"/>
      <c r="B186" s="3" t="s">
        <v>160</v>
      </c>
      <c r="C186" s="96">
        <f>C150+C155+C176+C183</f>
        <v>-65535.400000000009</v>
      </c>
      <c r="D186" s="96">
        <f>D150+D155+D176+D183</f>
        <v>27439.880000000005</v>
      </c>
      <c r="E186" s="96">
        <f>E150+E155+E176+E183</f>
        <v>-18392.62</v>
      </c>
      <c r="F186" s="96">
        <f>F150+F155+F176+F183</f>
        <v>-14718.02</v>
      </c>
      <c r="G186" s="96">
        <f>G150+G155+G176+G183</f>
        <v>27390.670000000006</v>
      </c>
      <c r="H186" s="96">
        <f>H150+H155+H176+H183</f>
        <v>-18442</v>
      </c>
      <c r="I186" s="96">
        <f>I150+I155+I176+I183</f>
        <v>-14767.559999999998</v>
      </c>
      <c r="J186" s="96">
        <f>J150+J155+J176+J183</f>
        <v>27340.960000000006</v>
      </c>
      <c r="K186" s="96">
        <f>K150+K155+K176+K183</f>
        <v>-18491.87</v>
      </c>
      <c r="L186" s="96">
        <f>L150+L155+L176+L183</f>
        <v>-14817.61</v>
      </c>
      <c r="M186" s="96">
        <f>M150+M155+M176+M183</f>
        <v>27290.75</v>
      </c>
      <c r="N186" s="96">
        <f>N150+N155+N176+N183</f>
        <v>-18542.239999999998</v>
      </c>
      <c r="O186" s="96">
        <f>O150+O155+O176+O183</f>
        <v>-14868.149999999998</v>
      </c>
      <c r="P186" s="96">
        <f>P150+P155+P176+P183</f>
        <v>-23577.809999999969</v>
      </c>
      <c r="Q186" s="96">
        <f t="shared" ref="Q186:Q188" si="49">IF(C186&lt;&gt;"",P186-C186,"")</f>
        <v>41957.59000000004</v>
      </c>
      <c r="R186" s="149">
        <f t="shared" si="48"/>
        <v>-0.64022787684213467</v>
      </c>
    </row>
    <row r="187" spans="1:28" s="87" customFormat="1" ht="15.75" thickBot="1" x14ac:dyDescent="0.3">
      <c r="A187" s="6"/>
      <c r="B187" s="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 t="str">
        <f t="shared" si="49"/>
        <v/>
      </c>
      <c r="R187" s="149" t="str">
        <f t="shared" si="48"/>
        <v/>
      </c>
    </row>
    <row r="188" spans="1:28" s="87" customFormat="1" x14ac:dyDescent="0.25">
      <c r="A188" s="6"/>
      <c r="B188" s="3" t="s">
        <v>161</v>
      </c>
      <c r="C188" s="96">
        <f>SUM(C186,C131)</f>
        <v>143192.59999999998</v>
      </c>
      <c r="D188" s="96">
        <f>SUM(D186,D131)</f>
        <v>13681.703333333346</v>
      </c>
      <c r="E188" s="96">
        <f>SUM(E186,E131)</f>
        <v>14291.743333333336</v>
      </c>
      <c r="F188" s="96">
        <f>SUM(F186,F131)</f>
        <v>17788.493333333332</v>
      </c>
      <c r="G188" s="96">
        <f>SUM(G186,G131)</f>
        <v>14405.593333333338</v>
      </c>
      <c r="H188" s="96">
        <f>SUM(H186,H131)</f>
        <v>14221.743333333332</v>
      </c>
      <c r="I188" s="96">
        <f>SUM(I186,I131)</f>
        <v>4212.7433333333393</v>
      </c>
      <c r="J188" s="96">
        <f>SUM(J186,J131)</f>
        <v>14439.843333333345</v>
      </c>
      <c r="K188" s="96">
        <f>SUM(K186,K131)</f>
        <v>14467.143333333337</v>
      </c>
      <c r="L188" s="96">
        <f>SUM(L186,L131)</f>
        <v>18007.643333333333</v>
      </c>
      <c r="M188" s="96">
        <f>SUM(M186,M131)</f>
        <v>14512.42333333334</v>
      </c>
      <c r="N188" s="96">
        <f>SUM(N186,N131)</f>
        <v>14662.423333333332</v>
      </c>
      <c r="O188" s="96">
        <f>SUM(O186,O131)</f>
        <v>18353.423333333336</v>
      </c>
      <c r="P188" s="96">
        <f>SUM(P186,P131)</f>
        <v>89899.920000000071</v>
      </c>
      <c r="Q188" s="96">
        <f t="shared" si="49"/>
        <v>-53292.679999999906</v>
      </c>
      <c r="R188" s="149">
        <f t="shared" si="48"/>
        <v>-0.3721748190898127</v>
      </c>
    </row>
    <row r="189" spans="1:28" s="87" customFormat="1" x14ac:dyDescent="0.25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49"/>
    </row>
    <row r="190" spans="1:28" s="87" customFormat="1" hidden="1" x14ac:dyDescent="0.25">
      <c r="A190" s="6"/>
      <c r="B190" s="3" t="s">
        <v>373</v>
      </c>
      <c r="C190" s="104"/>
      <c r="D190" s="105"/>
      <c r="E190" s="105">
        <f>D191</f>
        <v>13681.703333333346</v>
      </c>
      <c r="F190" s="105">
        <f t="shared" ref="F190:O190" si="50">E191</f>
        <v>27973.446666666681</v>
      </c>
      <c r="G190" s="105">
        <f t="shared" si="50"/>
        <v>45761.940000000017</v>
      </c>
      <c r="H190" s="105">
        <f t="shared" si="50"/>
        <v>60167.533333333355</v>
      </c>
      <c r="I190" s="105">
        <f t="shared" si="50"/>
        <v>74389.276666666687</v>
      </c>
      <c r="J190" s="105">
        <f t="shared" si="50"/>
        <v>78602.020000000019</v>
      </c>
      <c r="K190" s="105">
        <f t="shared" si="50"/>
        <v>93041.863333333371</v>
      </c>
      <c r="L190" s="105">
        <f t="shared" si="50"/>
        <v>107509.00666666671</v>
      </c>
      <c r="M190" s="105">
        <f t="shared" si="50"/>
        <v>125516.65000000005</v>
      </c>
      <c r="N190" s="105">
        <f t="shared" si="50"/>
        <v>140029.07333333339</v>
      </c>
      <c r="O190" s="105">
        <f t="shared" si="50"/>
        <v>154691.49666666673</v>
      </c>
      <c r="P190" s="104"/>
      <c r="Q190" s="104"/>
      <c r="R190" s="149"/>
    </row>
    <row r="191" spans="1:28" s="87" customFormat="1" hidden="1" x14ac:dyDescent="0.25">
      <c r="A191" s="6"/>
      <c r="B191" s="3" t="s">
        <v>374</v>
      </c>
      <c r="C191" s="105"/>
      <c r="D191" s="105">
        <f>D190+D188</f>
        <v>13681.703333333346</v>
      </c>
      <c r="E191" s="105">
        <f>E190+E188</f>
        <v>27973.446666666681</v>
      </c>
      <c r="F191" s="105">
        <f t="shared" ref="F191:O191" si="51">F190+F188</f>
        <v>45761.940000000017</v>
      </c>
      <c r="G191" s="105">
        <f t="shared" si="51"/>
        <v>60167.533333333355</v>
      </c>
      <c r="H191" s="105">
        <f t="shared" si="51"/>
        <v>74389.276666666687</v>
      </c>
      <c r="I191" s="105">
        <f t="shared" si="51"/>
        <v>78602.020000000019</v>
      </c>
      <c r="J191" s="105">
        <f t="shared" si="51"/>
        <v>93041.863333333371</v>
      </c>
      <c r="K191" s="105">
        <f t="shared" si="51"/>
        <v>107509.00666666671</v>
      </c>
      <c r="L191" s="105">
        <f t="shared" si="51"/>
        <v>125516.65000000005</v>
      </c>
      <c r="M191" s="105">
        <f t="shared" si="51"/>
        <v>140029.07333333339</v>
      </c>
      <c r="N191" s="105">
        <f t="shared" si="51"/>
        <v>154691.49666666673</v>
      </c>
      <c r="O191" s="105">
        <f t="shared" si="51"/>
        <v>173044.92000000007</v>
      </c>
      <c r="P191" s="105"/>
      <c r="Q191" s="105"/>
      <c r="R191" s="149"/>
    </row>
    <row r="192" spans="1:28" s="87" customFormat="1" hidden="1" x14ac:dyDescent="0.25">
      <c r="A192" s="6"/>
      <c r="B192" s="3"/>
      <c r="C192" s="105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5"/>
      <c r="Q192" s="105"/>
      <c r="R192" s="149"/>
    </row>
    <row r="193" spans="1:18" s="87" customFormat="1" x14ac:dyDescent="0.25">
      <c r="A193" s="6"/>
      <c r="B193" s="3"/>
      <c r="C193" s="105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94"/>
      <c r="O193" s="94"/>
      <c r="P193" s="105"/>
      <c r="Q193" s="105"/>
      <c r="R193" s="149"/>
    </row>
    <row r="194" spans="1:18" x14ac:dyDescent="0.25">
      <c r="A194" s="1"/>
      <c r="B194" s="5"/>
      <c r="C194" s="95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P194" s="95"/>
      <c r="Q194" s="95"/>
      <c r="R194" s="148"/>
    </row>
    <row r="195" spans="1:18" x14ac:dyDescent="0.25">
      <c r="A195" s="5"/>
      <c r="B195" s="5" t="s">
        <v>465</v>
      </c>
      <c r="C195" s="95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P195" s="95"/>
      <c r="Q195" s="95"/>
      <c r="R195" s="148"/>
    </row>
    <row r="196" spans="1:18" x14ac:dyDescent="0.25">
      <c r="A196" s="1"/>
      <c r="B196" s="5" t="s">
        <v>496</v>
      </c>
      <c r="C196" s="95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>
        <f>SUM(D196:O196)</f>
        <v>0</v>
      </c>
      <c r="Q196" s="95"/>
      <c r="R196" s="148"/>
    </row>
    <row r="197" spans="1:18" x14ac:dyDescent="0.25">
      <c r="A197" s="131"/>
      <c r="B197" s="5" t="s">
        <v>497</v>
      </c>
      <c r="C197" s="95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>
        <f>SUM(D197:O197)</f>
        <v>0</v>
      </c>
      <c r="Q197" s="95"/>
      <c r="R197" s="148"/>
    </row>
    <row r="198" spans="1:18" x14ac:dyDescent="0.25">
      <c r="A198" s="162"/>
      <c r="B198" s="5" t="s">
        <v>498</v>
      </c>
      <c r="C198" s="95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5"/>
      <c r="R198" s="148"/>
    </row>
    <row r="199" spans="1:18" x14ac:dyDescent="0.25">
      <c r="A199" s="169"/>
      <c r="B199" s="5" t="s">
        <v>499</v>
      </c>
      <c r="C199" s="95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5"/>
      <c r="R199" s="148"/>
    </row>
    <row r="200" spans="1:18" x14ac:dyDescent="0.25">
      <c r="A200" s="162"/>
      <c r="B200" s="5" t="s">
        <v>500</v>
      </c>
      <c r="C200" s="95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5"/>
      <c r="R200" s="148"/>
    </row>
    <row r="201" spans="1:18" x14ac:dyDescent="0.25">
      <c r="A201" s="162"/>
      <c r="B201" s="5" t="s">
        <v>501</v>
      </c>
      <c r="C201" s="95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5"/>
      <c r="R201" s="148"/>
    </row>
    <row r="202" spans="1:18" x14ac:dyDescent="0.25">
      <c r="A202" s="162"/>
      <c r="B202" s="5" t="s">
        <v>502</v>
      </c>
      <c r="C202" s="95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5"/>
      <c r="R202" s="148"/>
    </row>
    <row r="203" spans="1:18" x14ac:dyDescent="0.25">
      <c r="A203" s="162"/>
      <c r="B203" s="5" t="s">
        <v>503</v>
      </c>
      <c r="C203" s="95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5"/>
      <c r="R203" s="148"/>
    </row>
    <row r="204" spans="1:18" ht="15.75" thickBot="1" x14ac:dyDescent="0.3">
      <c r="A204" s="162"/>
      <c r="B204" s="5" t="s">
        <v>504</v>
      </c>
      <c r="C204" s="95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5"/>
      <c r="R204" s="148"/>
    </row>
    <row r="205" spans="1:18" x14ac:dyDescent="0.25">
      <c r="B205" s="3" t="s">
        <v>464</v>
      </c>
      <c r="C205"/>
      <c r="D205" s="96">
        <f t="shared" ref="D205:P205" si="52">SUM(D196:D204)</f>
        <v>0</v>
      </c>
      <c r="E205" s="96">
        <f t="shared" si="52"/>
        <v>0</v>
      </c>
      <c r="F205" s="96">
        <f t="shared" si="52"/>
        <v>0</v>
      </c>
      <c r="G205" s="96">
        <f t="shared" si="52"/>
        <v>0</v>
      </c>
      <c r="H205" s="96">
        <f t="shared" si="52"/>
        <v>0</v>
      </c>
      <c r="I205" s="96">
        <f t="shared" si="52"/>
        <v>0</v>
      </c>
      <c r="J205" s="96">
        <f t="shared" si="52"/>
        <v>0</v>
      </c>
      <c r="K205" s="96">
        <f t="shared" si="52"/>
        <v>0</v>
      </c>
      <c r="L205" s="96">
        <f t="shared" si="52"/>
        <v>0</v>
      </c>
      <c r="M205" s="96">
        <f t="shared" si="52"/>
        <v>0</v>
      </c>
      <c r="N205" s="96">
        <f t="shared" si="52"/>
        <v>0</v>
      </c>
      <c r="O205" s="96">
        <f t="shared" si="52"/>
        <v>0</v>
      </c>
      <c r="P205" s="96">
        <f t="shared" si="52"/>
        <v>0</v>
      </c>
      <c r="Q205"/>
    </row>
    <row r="206" spans="1:18" x14ac:dyDescent="0.25">
      <c r="A206" s="1"/>
      <c r="B206" s="3"/>
      <c r="C206" s="104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4"/>
      <c r="Q206" s="104"/>
      <c r="R206" s="149"/>
    </row>
    <row r="207" spans="1:18" x14ac:dyDescent="0.25">
      <c r="A207" s="1"/>
      <c r="B207" s="5"/>
      <c r="C207" s="95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5"/>
      <c r="Q207" s="95"/>
      <c r="R207" s="148"/>
    </row>
    <row r="208" spans="1:18" x14ac:dyDescent="0.25">
      <c r="A208" s="88" t="s">
        <v>480</v>
      </c>
      <c r="B208" s="3" t="s">
        <v>466</v>
      </c>
      <c r="C208" s="95"/>
      <c r="D208" s="100">
        <f t="shared" ref="D208:P208" si="53">D188+D205</f>
        <v>13681.703333333346</v>
      </c>
      <c r="E208" s="100">
        <f t="shared" si="53"/>
        <v>14291.743333333336</v>
      </c>
      <c r="F208" s="100">
        <f t="shared" si="53"/>
        <v>17788.493333333332</v>
      </c>
      <c r="G208" s="100">
        <f t="shared" si="53"/>
        <v>14405.593333333338</v>
      </c>
      <c r="H208" s="100">
        <f t="shared" si="53"/>
        <v>14221.743333333332</v>
      </c>
      <c r="I208" s="100">
        <f t="shared" si="53"/>
        <v>4212.7433333333393</v>
      </c>
      <c r="J208" s="100">
        <f t="shared" si="53"/>
        <v>14439.843333333345</v>
      </c>
      <c r="K208" s="100">
        <f t="shared" si="53"/>
        <v>14467.143333333337</v>
      </c>
      <c r="L208" s="100">
        <f t="shared" si="53"/>
        <v>18007.643333333333</v>
      </c>
      <c r="M208" s="100">
        <f t="shared" si="53"/>
        <v>14512.42333333334</v>
      </c>
      <c r="N208" s="100">
        <f t="shared" si="53"/>
        <v>14662.423333333332</v>
      </c>
      <c r="O208" s="100">
        <f t="shared" si="53"/>
        <v>18353.423333333336</v>
      </c>
      <c r="P208" s="100">
        <f t="shared" si="53"/>
        <v>89899.920000000071</v>
      </c>
      <c r="Q208" s="95"/>
      <c r="R208" s="148"/>
    </row>
    <row r="209" spans="1:18" x14ac:dyDescent="0.25">
      <c r="A209" s="135"/>
      <c r="B209" s="3"/>
      <c r="C209" s="95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95"/>
      <c r="R209" s="148"/>
    </row>
    <row r="210" spans="1:18" x14ac:dyDescent="0.25">
      <c r="A210" s="1"/>
      <c r="B210" s="5"/>
      <c r="C210" s="95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5"/>
      <c r="Q210" s="95"/>
      <c r="R210" s="148"/>
    </row>
    <row r="211" spans="1:18" x14ac:dyDescent="0.25">
      <c r="A211" s="1"/>
      <c r="B211" s="3"/>
      <c r="C211" s="105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5"/>
      <c r="Q211" s="105"/>
      <c r="R211" s="149"/>
    </row>
    <row r="212" spans="1:18" x14ac:dyDescent="0.25">
      <c r="B212" s="31"/>
    </row>
    <row r="213" spans="1:18" x14ac:dyDescent="0.25">
      <c r="B213" s="31"/>
    </row>
    <row r="214" spans="1:18" x14ac:dyDescent="0.25">
      <c r="B214" s="31"/>
    </row>
    <row r="215" spans="1:18" x14ac:dyDescent="0.25">
      <c r="B215" s="31"/>
    </row>
    <row r="216" spans="1:18" x14ac:dyDescent="0.25">
      <c r="B216" s="31"/>
    </row>
    <row r="217" spans="1:18" x14ac:dyDescent="0.25">
      <c r="B217" s="31"/>
    </row>
    <row r="218" spans="1:18" x14ac:dyDescent="0.25">
      <c r="B218" s="31"/>
    </row>
    <row r="219" spans="1:18" x14ac:dyDescent="0.25">
      <c r="B219" s="31"/>
    </row>
    <row r="220" spans="1:18" x14ac:dyDescent="0.25">
      <c r="B220" s="31"/>
    </row>
  </sheetData>
  <mergeCells count="3">
    <mergeCell ref="A1:Q1"/>
    <mergeCell ref="A2:Q2"/>
    <mergeCell ref="C137:Q137"/>
  </mergeCells>
  <printOptions gridLines="1"/>
  <pageMargins left="0.1701388888888889" right="0.1701388888888889" top="0.1701388888888889" bottom="0.1701388888888889" header="0" footer="0"/>
  <pageSetup paperSize="5" scale="50" fitToHeight="990" orientation="landscape" r:id="rId1"/>
  <headerFooter>
    <oddHeader>&amp;R&amp;B&amp;D &amp;T</oddHeader>
    <oddFooter>&amp;C&amp;B Page &amp;P of &amp;N</oddFooter>
  </headerFooter>
  <rowBreaks count="1" manualBreakCount="1">
    <brk id="8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5" sqref="A5:B13"/>
    </sheetView>
  </sheetViews>
  <sheetFormatPr defaultRowHeight="15" x14ac:dyDescent="0.25"/>
  <cols>
    <col min="1" max="1" width="26.5703125" style="31" customWidth="1"/>
    <col min="2" max="2" width="8.85546875" style="32" bestFit="1" customWidth="1"/>
    <col min="3" max="3" width="8.85546875" style="70" bestFit="1" customWidth="1"/>
    <col min="4" max="4" width="10" style="70" bestFit="1" customWidth="1"/>
    <col min="5" max="16" width="13.28515625" style="71" bestFit="1" customWidth="1"/>
    <col min="17" max="17" width="12.140625" style="71" bestFit="1" customWidth="1"/>
    <col min="18" max="18" width="11.7109375" style="71" bestFit="1" customWidth="1"/>
    <col min="19" max="19" width="10" style="31" bestFit="1" customWidth="1"/>
    <col min="20" max="20" width="38" style="31" bestFit="1" customWidth="1"/>
    <col min="21" max="21" width="53.5703125" style="31" bestFit="1" customWidth="1"/>
    <col min="22" max="16384" width="9.140625" style="31"/>
  </cols>
  <sheetData>
    <row r="1" spans="1:21" x14ac:dyDescent="0.25">
      <c r="A1" s="12" t="s">
        <v>405</v>
      </c>
      <c r="T1" s="31" t="s">
        <v>381</v>
      </c>
    </row>
    <row r="2" spans="1:21" x14ac:dyDescent="0.25">
      <c r="A2" s="12" t="s">
        <v>355</v>
      </c>
    </row>
    <row r="4" spans="1:21" s="72" customFormat="1" x14ac:dyDescent="0.25">
      <c r="A4" s="72" t="s">
        <v>356</v>
      </c>
      <c r="B4" s="72" t="s">
        <v>214</v>
      </c>
      <c r="C4" s="73" t="s">
        <v>357</v>
      </c>
      <c r="D4" s="73" t="s">
        <v>403</v>
      </c>
      <c r="E4" s="74" t="s">
        <v>391</v>
      </c>
      <c r="F4" s="74" t="s">
        <v>392</v>
      </c>
      <c r="G4" s="74" t="s">
        <v>393</v>
      </c>
      <c r="H4" s="74" t="s">
        <v>394</v>
      </c>
      <c r="I4" s="74" t="s">
        <v>395</v>
      </c>
      <c r="J4" s="74" t="s">
        <v>396</v>
      </c>
      <c r="K4" s="74" t="s">
        <v>397</v>
      </c>
      <c r="L4" s="74" t="s">
        <v>398</v>
      </c>
      <c r="M4" s="74" t="s">
        <v>399</v>
      </c>
      <c r="N4" s="74" t="s">
        <v>400</v>
      </c>
      <c r="O4" s="74" t="s">
        <v>401</v>
      </c>
      <c r="P4" s="74" t="s">
        <v>402</v>
      </c>
      <c r="Q4" s="75" t="s">
        <v>165</v>
      </c>
      <c r="R4" s="75" t="s">
        <v>382</v>
      </c>
      <c r="S4" s="72" t="s">
        <v>383</v>
      </c>
      <c r="T4" s="72" t="s">
        <v>384</v>
      </c>
      <c r="U4" s="72" t="s">
        <v>385</v>
      </c>
    </row>
    <row r="5" spans="1:21" s="54" customFormat="1" x14ac:dyDescent="0.25">
      <c r="A5" s="153" t="s">
        <v>496</v>
      </c>
      <c r="B5" s="161" t="s">
        <v>505</v>
      </c>
      <c r="C5" s="154"/>
      <c r="D5" s="155">
        <v>26.997894736842106</v>
      </c>
      <c r="E5" s="82">
        <v>3220.55</v>
      </c>
      <c r="F5" s="82">
        <f>E5</f>
        <v>3220.55</v>
      </c>
      <c r="G5" s="160">
        <v>3317.17</v>
      </c>
      <c r="H5" s="82">
        <f t="shared" ref="G5:P12" si="0">G5</f>
        <v>3317.17</v>
      </c>
      <c r="I5" s="82">
        <f t="shared" si="0"/>
        <v>3317.17</v>
      </c>
      <c r="J5" s="82">
        <f t="shared" si="0"/>
        <v>3317.17</v>
      </c>
      <c r="K5" s="82">
        <f t="shared" si="0"/>
        <v>3317.17</v>
      </c>
      <c r="L5" s="82">
        <f t="shared" si="0"/>
        <v>3317.17</v>
      </c>
      <c r="M5" s="82">
        <f t="shared" si="0"/>
        <v>3317.17</v>
      </c>
      <c r="N5" s="82">
        <f t="shared" si="0"/>
        <v>3317.17</v>
      </c>
      <c r="O5" s="82">
        <f t="shared" si="0"/>
        <v>3317.17</v>
      </c>
      <c r="P5" s="82">
        <f t="shared" si="0"/>
        <v>3317.17</v>
      </c>
      <c r="Q5" s="82">
        <f>SUM(E5:P5)</f>
        <v>39612.799999999988</v>
      </c>
      <c r="R5" s="82"/>
      <c r="T5" s="54" t="s">
        <v>379</v>
      </c>
    </row>
    <row r="6" spans="1:21" s="54" customFormat="1" x14ac:dyDescent="0.25">
      <c r="A6" s="54" t="s">
        <v>497</v>
      </c>
      <c r="B6" s="161" t="s">
        <v>505</v>
      </c>
      <c r="C6" s="154"/>
      <c r="D6" s="155">
        <v>16.23</v>
      </c>
      <c r="E6" s="82">
        <v>4000</v>
      </c>
      <c r="F6" s="160">
        <v>4643.04</v>
      </c>
      <c r="G6" s="82">
        <f t="shared" si="0"/>
        <v>4643.04</v>
      </c>
      <c r="H6" s="82">
        <f t="shared" si="0"/>
        <v>4643.04</v>
      </c>
      <c r="I6" s="82">
        <f t="shared" si="0"/>
        <v>4643.04</v>
      </c>
      <c r="J6" s="82">
        <f t="shared" si="0"/>
        <v>4643.04</v>
      </c>
      <c r="K6" s="82">
        <f t="shared" si="0"/>
        <v>4643.04</v>
      </c>
      <c r="L6" s="82">
        <f t="shared" si="0"/>
        <v>4643.04</v>
      </c>
      <c r="M6" s="82">
        <f t="shared" si="0"/>
        <v>4643.04</v>
      </c>
      <c r="N6" s="82">
        <f t="shared" si="0"/>
        <v>4643.04</v>
      </c>
      <c r="O6" s="82">
        <f t="shared" si="0"/>
        <v>4643.04</v>
      </c>
      <c r="P6" s="82">
        <f t="shared" si="0"/>
        <v>4643.04</v>
      </c>
      <c r="Q6" s="82">
        <f t="shared" ref="Q6:Q13" si="1">SUM(E6:P6)</f>
        <v>55073.44000000001</v>
      </c>
      <c r="R6" s="82"/>
      <c r="T6" s="54" t="s">
        <v>386</v>
      </c>
    </row>
    <row r="7" spans="1:21" s="54" customFormat="1" x14ac:dyDescent="0.25">
      <c r="A7" s="54" t="s">
        <v>498</v>
      </c>
      <c r="B7" s="161" t="s">
        <v>505</v>
      </c>
      <c r="C7" s="154"/>
      <c r="D7" s="155">
        <v>21.492967741935484</v>
      </c>
      <c r="E7" s="82">
        <v>3359.2000000000003</v>
      </c>
      <c r="F7" s="82">
        <f t="shared" ref="F7" si="2">E7</f>
        <v>3359.2000000000003</v>
      </c>
      <c r="G7" s="82">
        <f t="shared" si="0"/>
        <v>3359.2000000000003</v>
      </c>
      <c r="H7" s="82">
        <f t="shared" si="0"/>
        <v>3359.2000000000003</v>
      </c>
      <c r="I7" s="82">
        <f t="shared" si="0"/>
        <v>3359.2000000000003</v>
      </c>
      <c r="J7" s="82">
        <f t="shared" si="0"/>
        <v>3359.2000000000003</v>
      </c>
      <c r="K7" s="82">
        <f t="shared" si="0"/>
        <v>3359.2000000000003</v>
      </c>
      <c r="L7" s="82">
        <f t="shared" si="0"/>
        <v>3359.2000000000003</v>
      </c>
      <c r="M7" s="82">
        <f t="shared" si="0"/>
        <v>3359.2000000000003</v>
      </c>
      <c r="N7" s="160">
        <v>3459.98</v>
      </c>
      <c r="O7" s="82">
        <f t="shared" si="0"/>
        <v>3459.98</v>
      </c>
      <c r="P7" s="82">
        <f t="shared" si="0"/>
        <v>3459.98</v>
      </c>
      <c r="Q7" s="82">
        <f t="shared" si="1"/>
        <v>40612.740000000013</v>
      </c>
      <c r="R7" s="82"/>
      <c r="T7" s="54" t="s">
        <v>387</v>
      </c>
    </row>
    <row r="8" spans="1:21" s="54" customFormat="1" x14ac:dyDescent="0.25">
      <c r="A8" s="54" t="s">
        <v>499</v>
      </c>
      <c r="B8" s="161" t="s">
        <v>505</v>
      </c>
      <c r="C8" s="154"/>
      <c r="D8" s="155">
        <v>24.041065573770489</v>
      </c>
      <c r="E8" s="82">
        <v>3605</v>
      </c>
      <c r="F8" s="82">
        <f t="shared" ref="F8" si="3">E8</f>
        <v>3605</v>
      </c>
      <c r="G8" s="82">
        <f t="shared" si="0"/>
        <v>3605</v>
      </c>
      <c r="H8" s="82">
        <f t="shared" si="0"/>
        <v>3605</v>
      </c>
      <c r="I8" s="160">
        <v>3713.15</v>
      </c>
      <c r="J8" s="82">
        <f t="shared" si="0"/>
        <v>3713.15</v>
      </c>
      <c r="K8" s="82">
        <f t="shared" si="0"/>
        <v>3713.15</v>
      </c>
      <c r="L8" s="82">
        <f t="shared" si="0"/>
        <v>3713.15</v>
      </c>
      <c r="M8" s="82">
        <f t="shared" si="0"/>
        <v>3713.15</v>
      </c>
      <c r="N8" s="82">
        <f t="shared" si="0"/>
        <v>3713.15</v>
      </c>
      <c r="O8" s="82">
        <f t="shared" si="0"/>
        <v>3713.15</v>
      </c>
      <c r="P8" s="82">
        <f t="shared" si="0"/>
        <v>3713.15</v>
      </c>
      <c r="Q8" s="82">
        <f t="shared" si="1"/>
        <v>44125.200000000012</v>
      </c>
      <c r="R8" s="82"/>
      <c r="T8" s="54" t="s">
        <v>388</v>
      </c>
    </row>
    <row r="9" spans="1:21" s="54" customFormat="1" x14ac:dyDescent="0.25">
      <c r="A9" s="54" t="s">
        <v>500</v>
      </c>
      <c r="B9" s="161" t="s">
        <v>505</v>
      </c>
      <c r="C9" s="154"/>
      <c r="D9" s="155">
        <v>24.345592105263155</v>
      </c>
      <c r="E9" s="82">
        <v>1241.1500000000001</v>
      </c>
      <c r="F9" s="82">
        <f t="shared" ref="F9" si="4">E9</f>
        <v>1241.1500000000001</v>
      </c>
      <c r="G9" s="160">
        <v>1278.3800000000001</v>
      </c>
      <c r="H9" s="82">
        <f t="shared" si="0"/>
        <v>1278.3800000000001</v>
      </c>
      <c r="I9" s="82">
        <f t="shared" si="0"/>
        <v>1278.3800000000001</v>
      </c>
      <c r="J9" s="82">
        <f t="shared" si="0"/>
        <v>1278.3800000000001</v>
      </c>
      <c r="K9" s="82">
        <f t="shared" si="0"/>
        <v>1278.3800000000001</v>
      </c>
      <c r="L9" s="82">
        <f t="shared" si="0"/>
        <v>1278.3800000000001</v>
      </c>
      <c r="M9" s="82">
        <f t="shared" si="0"/>
        <v>1278.3800000000001</v>
      </c>
      <c r="N9" s="82">
        <f t="shared" si="0"/>
        <v>1278.3800000000001</v>
      </c>
      <c r="O9" s="82">
        <f t="shared" si="0"/>
        <v>1278.3800000000001</v>
      </c>
      <c r="P9" s="82">
        <f t="shared" si="0"/>
        <v>1278.3800000000001</v>
      </c>
      <c r="Q9" s="82">
        <f t="shared" si="1"/>
        <v>15266.100000000006</v>
      </c>
      <c r="R9" s="82"/>
      <c r="T9" s="54" t="s">
        <v>377</v>
      </c>
    </row>
    <row r="10" spans="1:21" s="54" customFormat="1" x14ac:dyDescent="0.25">
      <c r="A10" s="54" t="s">
        <v>501</v>
      </c>
      <c r="B10" s="161" t="s">
        <v>505</v>
      </c>
      <c r="C10" s="154"/>
      <c r="D10" s="154">
        <v>16</v>
      </c>
      <c r="E10" s="82">
        <v>1876</v>
      </c>
      <c r="F10" s="82">
        <f t="shared" ref="F10" si="5">E10</f>
        <v>1876</v>
      </c>
      <c r="G10" s="82">
        <f t="shared" si="0"/>
        <v>1876</v>
      </c>
      <c r="H10" s="82">
        <f t="shared" si="0"/>
        <v>1876</v>
      </c>
      <c r="I10" s="82">
        <f t="shared" si="0"/>
        <v>1876</v>
      </c>
      <c r="J10" s="82">
        <f t="shared" si="0"/>
        <v>1876</v>
      </c>
      <c r="K10" s="82">
        <f t="shared" si="0"/>
        <v>1876</v>
      </c>
      <c r="L10" s="82">
        <f t="shared" si="0"/>
        <v>1876</v>
      </c>
      <c r="M10" s="160">
        <v>1922.9</v>
      </c>
      <c r="N10" s="82">
        <f t="shared" si="0"/>
        <v>1922.9</v>
      </c>
      <c r="O10" s="82">
        <f t="shared" si="0"/>
        <v>1922.9</v>
      </c>
      <c r="P10" s="82">
        <f t="shared" si="0"/>
        <v>1922.9</v>
      </c>
      <c r="Q10" s="82">
        <f t="shared" si="1"/>
        <v>22699.600000000006</v>
      </c>
      <c r="R10" s="82"/>
      <c r="T10" s="54" t="s">
        <v>378</v>
      </c>
    </row>
    <row r="11" spans="1:21" s="54" customFormat="1" x14ac:dyDescent="0.25">
      <c r="A11" s="54" t="s">
        <v>502</v>
      </c>
      <c r="B11" s="161" t="s">
        <v>505</v>
      </c>
      <c r="C11" s="156"/>
      <c r="D11" s="154">
        <v>21.995999999999999</v>
      </c>
      <c r="E11" s="160">
        <v>12867.81</v>
      </c>
      <c r="F11" s="82">
        <f t="shared" ref="F11" si="6">E11</f>
        <v>12867.81</v>
      </c>
      <c r="G11" s="82">
        <f t="shared" si="0"/>
        <v>12867.81</v>
      </c>
      <c r="H11" s="82">
        <f t="shared" si="0"/>
        <v>12867.81</v>
      </c>
      <c r="I11" s="82">
        <f t="shared" si="0"/>
        <v>12867.81</v>
      </c>
      <c r="J11" s="82">
        <f t="shared" si="0"/>
        <v>12867.81</v>
      </c>
      <c r="K11" s="82">
        <f t="shared" si="0"/>
        <v>12867.81</v>
      </c>
      <c r="L11" s="82">
        <f t="shared" si="0"/>
        <v>12867.81</v>
      </c>
      <c r="M11" s="82">
        <f t="shared" si="0"/>
        <v>12867.81</v>
      </c>
      <c r="N11" s="82">
        <f t="shared" si="0"/>
        <v>12867.81</v>
      </c>
      <c r="O11" s="82">
        <f t="shared" si="0"/>
        <v>12867.81</v>
      </c>
      <c r="P11" s="82">
        <f t="shared" si="0"/>
        <v>12867.81</v>
      </c>
      <c r="Q11" s="82">
        <f t="shared" si="1"/>
        <v>154413.72</v>
      </c>
      <c r="R11" s="82"/>
      <c r="T11" s="54" t="s">
        <v>380</v>
      </c>
      <c r="U11" s="54" t="s">
        <v>389</v>
      </c>
    </row>
    <row r="12" spans="1:21" s="157" customFormat="1" x14ac:dyDescent="0.25">
      <c r="A12" s="157" t="s">
        <v>503</v>
      </c>
      <c r="B12" s="161" t="s">
        <v>505</v>
      </c>
      <c r="C12" s="158"/>
      <c r="D12" s="158">
        <v>20</v>
      </c>
      <c r="E12" s="159">
        <v>4464.46</v>
      </c>
      <c r="F12" s="82">
        <f t="shared" ref="F12" si="7">E12</f>
        <v>4464.46</v>
      </c>
      <c r="G12" s="82">
        <f t="shared" si="0"/>
        <v>4464.46</v>
      </c>
      <c r="H12" s="82">
        <f t="shared" si="0"/>
        <v>4464.46</v>
      </c>
      <c r="I12" s="82">
        <f t="shared" si="0"/>
        <v>4464.46</v>
      </c>
      <c r="J12" s="82">
        <f t="shared" si="0"/>
        <v>4464.46</v>
      </c>
      <c r="K12" s="82">
        <f t="shared" si="0"/>
        <v>4464.46</v>
      </c>
      <c r="L12" s="82">
        <f t="shared" si="0"/>
        <v>4464.46</v>
      </c>
      <c r="M12" s="82">
        <f t="shared" si="0"/>
        <v>4464.46</v>
      </c>
      <c r="N12" s="82">
        <f t="shared" si="0"/>
        <v>4464.46</v>
      </c>
      <c r="O12" s="82">
        <f t="shared" si="0"/>
        <v>4464.46</v>
      </c>
      <c r="P12" s="82">
        <f t="shared" si="0"/>
        <v>4464.46</v>
      </c>
      <c r="Q12" s="159">
        <f t="shared" si="1"/>
        <v>53573.52</v>
      </c>
      <c r="R12" s="159"/>
      <c r="T12" s="157" t="s">
        <v>390</v>
      </c>
    </row>
    <row r="13" spans="1:21" x14ac:dyDescent="0.25">
      <c r="A13" s="31" t="s">
        <v>504</v>
      </c>
      <c r="B13" s="161" t="s">
        <v>505</v>
      </c>
      <c r="E13" s="71">
        <v>4229.8999999999996</v>
      </c>
      <c r="F13" s="82">
        <f t="shared" ref="F13" si="8">E13</f>
        <v>4229.8999999999996</v>
      </c>
      <c r="G13" s="82">
        <f t="shared" ref="G13" si="9">F13</f>
        <v>4229.8999999999996</v>
      </c>
      <c r="H13" s="82">
        <f t="shared" ref="H13" si="10">G13</f>
        <v>4229.8999999999996</v>
      </c>
      <c r="I13" s="82">
        <f t="shared" ref="I13" si="11">H13</f>
        <v>4229.8999999999996</v>
      </c>
      <c r="J13" s="82">
        <f t="shared" ref="J13" si="12">I13</f>
        <v>4229.8999999999996</v>
      </c>
      <c r="K13" s="82">
        <f t="shared" ref="K13" si="13">J13</f>
        <v>4229.8999999999996</v>
      </c>
      <c r="L13" s="82">
        <f t="shared" ref="L13" si="14">K13</f>
        <v>4229.8999999999996</v>
      </c>
      <c r="M13" s="82">
        <f t="shared" ref="M13" si="15">L13</f>
        <v>4229.8999999999996</v>
      </c>
      <c r="N13" s="82">
        <f t="shared" ref="N13" si="16">M13</f>
        <v>4229.8999999999996</v>
      </c>
      <c r="O13" s="82">
        <f t="shared" ref="O13" si="17">N13</f>
        <v>4229.8999999999996</v>
      </c>
      <c r="P13" s="82">
        <f t="shared" ref="P13" si="18">O13</f>
        <v>4229.8999999999996</v>
      </c>
      <c r="Q13" s="71">
        <f t="shared" si="1"/>
        <v>50758.80000000001</v>
      </c>
      <c r="T13" s="31">
        <v>0</v>
      </c>
    </row>
    <row r="14" spans="1:21" x14ac:dyDescent="0.25">
      <c r="T14" s="31">
        <v>0</v>
      </c>
    </row>
    <row r="18" spans="1:17" x14ac:dyDescent="0.25">
      <c r="A18" s="31" t="s">
        <v>362</v>
      </c>
      <c r="C18" s="70">
        <f t="shared" ref="C18:P18" si="19">SUM(C5:C17)</f>
        <v>0</v>
      </c>
      <c r="D18" s="70">
        <f t="shared" si="19"/>
        <v>171.10352015781123</v>
      </c>
      <c r="E18" s="90">
        <f t="shared" si="19"/>
        <v>38864.07</v>
      </c>
      <c r="F18" s="90">
        <f t="shared" si="19"/>
        <v>39507.11</v>
      </c>
      <c r="G18" s="90">
        <f t="shared" si="19"/>
        <v>39640.959999999999</v>
      </c>
      <c r="H18" s="90">
        <f t="shared" si="19"/>
        <v>39640.959999999999</v>
      </c>
      <c r="I18" s="90">
        <f t="shared" si="19"/>
        <v>39749.11</v>
      </c>
      <c r="J18" s="90">
        <f t="shared" si="19"/>
        <v>39749.11</v>
      </c>
      <c r="K18" s="90">
        <f t="shared" si="19"/>
        <v>39749.11</v>
      </c>
      <c r="L18" s="90">
        <f t="shared" si="19"/>
        <v>39749.11</v>
      </c>
      <c r="M18" s="90">
        <f t="shared" si="19"/>
        <v>39796.01</v>
      </c>
      <c r="N18" s="90">
        <f t="shared" si="19"/>
        <v>39896.79</v>
      </c>
      <c r="O18" s="90">
        <f t="shared" si="19"/>
        <v>39896.79</v>
      </c>
      <c r="P18" s="90">
        <f t="shared" si="19"/>
        <v>39896.79</v>
      </c>
      <c r="Q18" s="71">
        <f>SUM(Q5:Q13)</f>
        <v>476135.92000000004</v>
      </c>
    </row>
    <row r="19" spans="1:17" x14ac:dyDescent="0.25">
      <c r="Q19" s="71">
        <f>SUM(E18:P18)</f>
        <v>476135.91999999987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A6" sqref="A6:B14"/>
    </sheetView>
  </sheetViews>
  <sheetFormatPr defaultRowHeight="15" x14ac:dyDescent="0.25"/>
  <cols>
    <col min="1" max="1" width="38" style="31" bestFit="1" customWidth="1"/>
    <col min="2" max="2" width="8.85546875" style="32" bestFit="1" customWidth="1"/>
    <col min="3" max="3" width="7.140625" style="70" bestFit="1" customWidth="1"/>
    <col min="4" max="4" width="8.42578125" style="70" bestFit="1" customWidth="1"/>
    <col min="5" max="16" width="10.5703125" style="71" bestFit="1" customWidth="1"/>
    <col min="17" max="17" width="12.140625" style="71" bestFit="1" customWidth="1"/>
    <col min="18" max="18" width="11.5703125" style="71" bestFit="1" customWidth="1"/>
    <col min="19" max="19" width="8.7109375" style="31" bestFit="1" customWidth="1"/>
    <col min="20" max="20" width="12.140625" style="31" bestFit="1" customWidth="1"/>
    <col min="21" max="16384" width="9.140625" style="31"/>
  </cols>
  <sheetData>
    <row r="1" spans="1:20" x14ac:dyDescent="0.25">
      <c r="A1" s="12" t="s">
        <v>404</v>
      </c>
    </row>
    <row r="2" spans="1:20" x14ac:dyDescent="0.25">
      <c r="A2" s="12" t="s">
        <v>363</v>
      </c>
    </row>
    <row r="4" spans="1:20" s="72" customFormat="1" x14ac:dyDescent="0.25">
      <c r="A4" s="72" t="s">
        <v>356</v>
      </c>
      <c r="B4" s="72" t="s">
        <v>214</v>
      </c>
      <c r="C4" s="73" t="s">
        <v>357</v>
      </c>
      <c r="D4" s="73" t="s">
        <v>403</v>
      </c>
      <c r="E4" s="74" t="s">
        <v>391</v>
      </c>
      <c r="F4" s="74" t="s">
        <v>392</v>
      </c>
      <c r="G4" s="74" t="s">
        <v>393</v>
      </c>
      <c r="H4" s="74" t="s">
        <v>394</v>
      </c>
      <c r="I4" s="74" t="s">
        <v>395</v>
      </c>
      <c r="J4" s="74" t="s">
        <v>396</v>
      </c>
      <c r="K4" s="74" t="s">
        <v>397</v>
      </c>
      <c r="L4" s="74" t="s">
        <v>398</v>
      </c>
      <c r="M4" s="74" t="s">
        <v>399</v>
      </c>
      <c r="N4" s="74" t="s">
        <v>400</v>
      </c>
      <c r="O4" s="74" t="s">
        <v>401</v>
      </c>
      <c r="P4" s="74" t="s">
        <v>402</v>
      </c>
      <c r="Q4" s="75" t="s">
        <v>165</v>
      </c>
      <c r="R4" s="75" t="s">
        <v>358</v>
      </c>
      <c r="S4" s="72" t="s">
        <v>0</v>
      </c>
      <c r="T4" s="72" t="s">
        <v>203</v>
      </c>
    </row>
    <row r="6" spans="1:20" s="54" customFormat="1" x14ac:dyDescent="0.25">
      <c r="A6" s="153" t="s">
        <v>496</v>
      </c>
      <c r="B6" s="161" t="s">
        <v>505</v>
      </c>
      <c r="C6" s="154">
        <v>2850</v>
      </c>
      <c r="D6" s="155">
        <v>26.997894736842106</v>
      </c>
      <c r="E6" s="82">
        <v>1649.63</v>
      </c>
      <c r="F6" s="82">
        <f>E6</f>
        <v>1649.63</v>
      </c>
      <c r="G6" s="82">
        <f t="shared" ref="G6:P6" si="0">F6</f>
        <v>1649.63</v>
      </c>
      <c r="H6" s="82">
        <f t="shared" si="0"/>
        <v>1649.63</v>
      </c>
      <c r="I6" s="82">
        <f t="shared" si="0"/>
        <v>1649.63</v>
      </c>
      <c r="J6" s="82">
        <f t="shared" si="0"/>
        <v>1649.63</v>
      </c>
      <c r="K6" s="82">
        <f t="shared" si="0"/>
        <v>1649.63</v>
      </c>
      <c r="L6" s="82">
        <f t="shared" si="0"/>
        <v>1649.63</v>
      </c>
      <c r="M6" s="82">
        <f t="shared" si="0"/>
        <v>1649.63</v>
      </c>
      <c r="N6" s="82">
        <f t="shared" si="0"/>
        <v>1649.63</v>
      </c>
      <c r="O6" s="82">
        <f t="shared" si="0"/>
        <v>1649.63</v>
      </c>
      <c r="P6" s="82">
        <f t="shared" si="0"/>
        <v>1649.63</v>
      </c>
      <c r="Q6" s="82">
        <f>SUM(E6:P6)</f>
        <v>19795.560000000009</v>
      </c>
      <c r="R6" s="82"/>
    </row>
    <row r="7" spans="1:20" s="54" customFormat="1" x14ac:dyDescent="0.25">
      <c r="A7" s="54" t="s">
        <v>497</v>
      </c>
      <c r="B7" s="161" t="s">
        <v>505</v>
      </c>
      <c r="C7" s="154">
        <f>12835+1958+2403</f>
        <v>17196</v>
      </c>
      <c r="D7" s="155">
        <v>16.23</v>
      </c>
      <c r="E7" s="82">
        <v>0</v>
      </c>
      <c r="F7" s="82">
        <f t="shared" ref="F7:P14" si="1">E7</f>
        <v>0</v>
      </c>
      <c r="G7" s="82">
        <f t="shared" si="1"/>
        <v>0</v>
      </c>
      <c r="H7" s="82">
        <f t="shared" si="1"/>
        <v>0</v>
      </c>
      <c r="I7" s="82">
        <f t="shared" si="1"/>
        <v>0</v>
      </c>
      <c r="J7" s="82">
        <f t="shared" si="1"/>
        <v>0</v>
      </c>
      <c r="K7" s="82">
        <f t="shared" si="1"/>
        <v>0</v>
      </c>
      <c r="L7" s="82">
        <f t="shared" si="1"/>
        <v>0</v>
      </c>
      <c r="M7" s="82">
        <f t="shared" si="1"/>
        <v>0</v>
      </c>
      <c r="N7" s="82">
        <f t="shared" si="1"/>
        <v>0</v>
      </c>
      <c r="O7" s="82">
        <f t="shared" si="1"/>
        <v>0</v>
      </c>
      <c r="P7" s="82">
        <f t="shared" si="1"/>
        <v>0</v>
      </c>
      <c r="Q7" s="82">
        <f t="shared" ref="Q7:Q9" si="2">SUM(E7:P7)</f>
        <v>0</v>
      </c>
      <c r="R7" s="82"/>
    </row>
    <row r="8" spans="1:20" s="54" customFormat="1" x14ac:dyDescent="0.25">
      <c r="A8" s="54" t="s">
        <v>498</v>
      </c>
      <c r="B8" s="161" t="s">
        <v>505</v>
      </c>
      <c r="C8" s="154">
        <v>1240</v>
      </c>
      <c r="D8" s="155">
        <v>21.492967741935484</v>
      </c>
      <c r="E8" s="82">
        <v>1551.99</v>
      </c>
      <c r="F8" s="82">
        <f t="shared" si="1"/>
        <v>1551.99</v>
      </c>
      <c r="G8" s="82">
        <f t="shared" si="1"/>
        <v>1551.99</v>
      </c>
      <c r="H8" s="82">
        <f t="shared" si="1"/>
        <v>1551.99</v>
      </c>
      <c r="I8" s="82">
        <f t="shared" si="1"/>
        <v>1551.99</v>
      </c>
      <c r="J8" s="82">
        <f t="shared" si="1"/>
        <v>1551.99</v>
      </c>
      <c r="K8" s="82">
        <f t="shared" si="1"/>
        <v>1551.99</v>
      </c>
      <c r="L8" s="82">
        <f t="shared" si="1"/>
        <v>1551.99</v>
      </c>
      <c r="M8" s="82">
        <f t="shared" si="1"/>
        <v>1551.99</v>
      </c>
      <c r="N8" s="82">
        <f t="shared" si="1"/>
        <v>1551.99</v>
      </c>
      <c r="O8" s="82">
        <f t="shared" si="1"/>
        <v>1551.99</v>
      </c>
      <c r="P8" s="82">
        <f t="shared" si="1"/>
        <v>1551.99</v>
      </c>
      <c r="Q8" s="82">
        <f t="shared" si="2"/>
        <v>18623.88</v>
      </c>
      <c r="R8" s="82"/>
    </row>
    <row r="9" spans="1:20" s="54" customFormat="1" x14ac:dyDescent="0.25">
      <c r="A9" s="54" t="s">
        <v>499</v>
      </c>
      <c r="B9" s="161" t="s">
        <v>505</v>
      </c>
      <c r="C9" s="154">
        <v>976</v>
      </c>
      <c r="D9" s="155">
        <v>24.041065573770489</v>
      </c>
      <c r="E9" s="82">
        <v>1554.55</v>
      </c>
      <c r="F9" s="82">
        <f t="shared" si="1"/>
        <v>1554.55</v>
      </c>
      <c r="G9" s="82">
        <f t="shared" si="1"/>
        <v>1554.55</v>
      </c>
      <c r="H9" s="82">
        <f t="shared" si="1"/>
        <v>1554.55</v>
      </c>
      <c r="I9" s="82">
        <f t="shared" si="1"/>
        <v>1554.55</v>
      </c>
      <c r="J9" s="82">
        <f t="shared" si="1"/>
        <v>1554.55</v>
      </c>
      <c r="K9" s="82">
        <f t="shared" si="1"/>
        <v>1554.55</v>
      </c>
      <c r="L9" s="82">
        <f t="shared" si="1"/>
        <v>1554.55</v>
      </c>
      <c r="M9" s="82">
        <f t="shared" si="1"/>
        <v>1554.55</v>
      </c>
      <c r="N9" s="82">
        <f t="shared" si="1"/>
        <v>1554.55</v>
      </c>
      <c r="O9" s="82">
        <f t="shared" si="1"/>
        <v>1554.55</v>
      </c>
      <c r="P9" s="82">
        <f t="shared" si="1"/>
        <v>1554.55</v>
      </c>
      <c r="Q9" s="82">
        <f t="shared" si="2"/>
        <v>18654.599999999995</v>
      </c>
      <c r="R9" s="82"/>
    </row>
    <row r="10" spans="1:20" s="54" customFormat="1" x14ac:dyDescent="0.25">
      <c r="A10" s="54" t="s">
        <v>500</v>
      </c>
      <c r="B10" s="161" t="s">
        <v>505</v>
      </c>
      <c r="C10" s="154">
        <v>1216</v>
      </c>
      <c r="D10" s="155">
        <v>24.345592105263155</v>
      </c>
      <c r="E10" s="82">
        <v>616.9</v>
      </c>
      <c r="F10" s="82">
        <f t="shared" si="1"/>
        <v>616.9</v>
      </c>
      <c r="G10" s="82">
        <f t="shared" si="1"/>
        <v>616.9</v>
      </c>
      <c r="H10" s="82">
        <f t="shared" si="1"/>
        <v>616.9</v>
      </c>
      <c r="I10" s="82">
        <f t="shared" si="1"/>
        <v>616.9</v>
      </c>
      <c r="J10" s="82">
        <f t="shared" si="1"/>
        <v>616.9</v>
      </c>
      <c r="K10" s="82">
        <f t="shared" si="1"/>
        <v>616.9</v>
      </c>
      <c r="L10" s="82">
        <f t="shared" si="1"/>
        <v>616.9</v>
      </c>
      <c r="M10" s="82">
        <f t="shared" si="1"/>
        <v>616.9</v>
      </c>
      <c r="N10" s="82">
        <f t="shared" si="1"/>
        <v>616.9</v>
      </c>
      <c r="O10" s="82">
        <f t="shared" si="1"/>
        <v>616.9</v>
      </c>
      <c r="P10" s="82">
        <f t="shared" si="1"/>
        <v>616.9</v>
      </c>
      <c r="Q10" s="82">
        <f>SUM(E10:P10)</f>
        <v>7402.7999999999984</v>
      </c>
      <c r="R10" s="82"/>
    </row>
    <row r="11" spans="1:20" s="54" customFormat="1" x14ac:dyDescent="0.25">
      <c r="A11" s="54" t="s">
        <v>501</v>
      </c>
      <c r="B11" s="161" t="s">
        <v>505</v>
      </c>
      <c r="C11" s="154">
        <v>24000</v>
      </c>
      <c r="D11" s="154">
        <v>16</v>
      </c>
      <c r="E11" s="82">
        <v>1874</v>
      </c>
      <c r="F11" s="82">
        <f t="shared" si="1"/>
        <v>1874</v>
      </c>
      <c r="G11" s="82">
        <f t="shared" si="1"/>
        <v>1874</v>
      </c>
      <c r="H11" s="82">
        <f t="shared" si="1"/>
        <v>1874</v>
      </c>
      <c r="I11" s="82">
        <f t="shared" si="1"/>
        <v>1874</v>
      </c>
      <c r="J11" s="82">
        <f t="shared" si="1"/>
        <v>1874</v>
      </c>
      <c r="K11" s="82">
        <f t="shared" si="1"/>
        <v>1874</v>
      </c>
      <c r="L11" s="82">
        <f t="shared" si="1"/>
        <v>1874</v>
      </c>
      <c r="M11" s="82">
        <f t="shared" si="1"/>
        <v>1874</v>
      </c>
      <c r="N11" s="82">
        <f t="shared" si="1"/>
        <v>1874</v>
      </c>
      <c r="O11" s="82">
        <f t="shared" si="1"/>
        <v>1874</v>
      </c>
      <c r="P11" s="82">
        <f t="shared" si="1"/>
        <v>1874</v>
      </c>
      <c r="Q11" s="82">
        <f t="shared" ref="Q11:Q14" si="3">SUM(E11:P11)</f>
        <v>22488</v>
      </c>
      <c r="R11" s="82"/>
      <c r="T11" s="54" t="s">
        <v>359</v>
      </c>
    </row>
    <row r="12" spans="1:20" s="54" customFormat="1" x14ac:dyDescent="0.25">
      <c r="A12" s="54" t="s">
        <v>502</v>
      </c>
      <c r="B12" s="161" t="s">
        <v>505</v>
      </c>
      <c r="C12" s="156">
        <v>2000</v>
      </c>
      <c r="D12" s="154">
        <v>21.995999999999999</v>
      </c>
      <c r="E12" s="82">
        <v>3429.09</v>
      </c>
      <c r="F12" s="82">
        <f t="shared" si="1"/>
        <v>3429.09</v>
      </c>
      <c r="G12" s="82">
        <f t="shared" si="1"/>
        <v>3429.09</v>
      </c>
      <c r="H12" s="82">
        <f t="shared" si="1"/>
        <v>3429.09</v>
      </c>
      <c r="I12" s="82">
        <f t="shared" si="1"/>
        <v>3429.09</v>
      </c>
      <c r="J12" s="82">
        <f t="shared" si="1"/>
        <v>3429.09</v>
      </c>
      <c r="K12" s="82">
        <f t="shared" si="1"/>
        <v>3429.09</v>
      </c>
      <c r="L12" s="82">
        <f t="shared" si="1"/>
        <v>3429.09</v>
      </c>
      <c r="M12" s="82">
        <f t="shared" si="1"/>
        <v>3429.09</v>
      </c>
      <c r="N12" s="82">
        <f t="shared" si="1"/>
        <v>3429.09</v>
      </c>
      <c r="O12" s="82">
        <f t="shared" si="1"/>
        <v>3429.09</v>
      </c>
      <c r="P12" s="82">
        <f t="shared" si="1"/>
        <v>3429.09</v>
      </c>
      <c r="Q12" s="82">
        <f t="shared" si="3"/>
        <v>41149.08</v>
      </c>
      <c r="R12" s="82"/>
      <c r="T12" s="54" t="s">
        <v>360</v>
      </c>
    </row>
    <row r="13" spans="1:20" s="54" customFormat="1" x14ac:dyDescent="0.25">
      <c r="A13" s="157" t="s">
        <v>503</v>
      </c>
      <c r="B13" s="161" t="s">
        <v>505</v>
      </c>
      <c r="C13" s="158">
        <v>1980</v>
      </c>
      <c r="D13" s="158">
        <v>20</v>
      </c>
      <c r="E13" s="159">
        <v>1308.42</v>
      </c>
      <c r="F13" s="82">
        <f t="shared" si="1"/>
        <v>1308.42</v>
      </c>
      <c r="G13" s="82">
        <f t="shared" si="1"/>
        <v>1308.42</v>
      </c>
      <c r="H13" s="82">
        <f t="shared" si="1"/>
        <v>1308.42</v>
      </c>
      <c r="I13" s="82">
        <f t="shared" si="1"/>
        <v>1308.42</v>
      </c>
      <c r="J13" s="82">
        <f t="shared" si="1"/>
        <v>1308.42</v>
      </c>
      <c r="K13" s="82">
        <f t="shared" si="1"/>
        <v>1308.42</v>
      </c>
      <c r="L13" s="82">
        <f t="shared" si="1"/>
        <v>1308.42</v>
      </c>
      <c r="M13" s="82">
        <f t="shared" si="1"/>
        <v>1308.42</v>
      </c>
      <c r="N13" s="82">
        <f t="shared" si="1"/>
        <v>1308.42</v>
      </c>
      <c r="O13" s="82">
        <f t="shared" si="1"/>
        <v>1308.42</v>
      </c>
      <c r="P13" s="82">
        <f t="shared" si="1"/>
        <v>1308.42</v>
      </c>
      <c r="Q13" s="82">
        <f t="shared" si="3"/>
        <v>15701.04</v>
      </c>
      <c r="R13" s="82"/>
      <c r="T13" s="54" t="s">
        <v>361</v>
      </c>
    </row>
    <row r="14" spans="1:20" x14ac:dyDescent="0.25">
      <c r="A14" s="31" t="s">
        <v>504</v>
      </c>
      <c r="B14" s="161" t="s">
        <v>505</v>
      </c>
      <c r="E14" s="71">
        <v>0</v>
      </c>
      <c r="F14" s="71">
        <f t="shared" si="1"/>
        <v>0</v>
      </c>
      <c r="G14" s="71">
        <f t="shared" si="1"/>
        <v>0</v>
      </c>
      <c r="H14" s="71">
        <f t="shared" si="1"/>
        <v>0</v>
      </c>
      <c r="I14" s="71">
        <f t="shared" si="1"/>
        <v>0</v>
      </c>
      <c r="J14" s="71">
        <f t="shared" si="1"/>
        <v>0</v>
      </c>
      <c r="K14" s="71">
        <f t="shared" si="1"/>
        <v>0</v>
      </c>
      <c r="L14" s="71">
        <f t="shared" si="1"/>
        <v>0</v>
      </c>
      <c r="M14" s="71">
        <f t="shared" si="1"/>
        <v>0</v>
      </c>
      <c r="N14" s="71">
        <f t="shared" si="1"/>
        <v>0</v>
      </c>
      <c r="O14" s="71">
        <f t="shared" si="1"/>
        <v>0</v>
      </c>
      <c r="P14" s="71">
        <f t="shared" si="1"/>
        <v>0</v>
      </c>
      <c r="Q14" s="82">
        <f t="shared" si="3"/>
        <v>0</v>
      </c>
    </row>
    <row r="15" spans="1:20" x14ac:dyDescent="0.25">
      <c r="A15" s="91"/>
      <c r="Q15" s="82"/>
    </row>
    <row r="16" spans="1:20" x14ac:dyDescent="0.25">
      <c r="A16" s="91"/>
      <c r="Q16" s="82"/>
    </row>
    <row r="17" spans="1:18" x14ac:dyDescent="0.25">
      <c r="A17" s="91"/>
      <c r="Q17" s="82"/>
    </row>
    <row r="18" spans="1:18" x14ac:dyDescent="0.25">
      <c r="A18" s="91"/>
      <c r="Q18" s="82"/>
    </row>
    <row r="19" spans="1:18" x14ac:dyDescent="0.25">
      <c r="C19" s="73">
        <f>SUM(C7:C13)</f>
        <v>48608</v>
      </c>
    </row>
    <row r="20" spans="1:18" s="83" customFormat="1" x14ac:dyDescent="0.25">
      <c r="A20" s="83" t="s">
        <v>206</v>
      </c>
      <c r="B20" s="84"/>
      <c r="C20" s="85"/>
      <c r="D20" s="85"/>
      <c r="E20" s="86">
        <f t="shared" ref="E20:P20" si="4">SUM(E6:E19)</f>
        <v>11984.58</v>
      </c>
      <c r="F20" s="86">
        <f t="shared" si="4"/>
        <v>11984.58</v>
      </c>
      <c r="G20" s="86">
        <f t="shared" si="4"/>
        <v>11984.58</v>
      </c>
      <c r="H20" s="86">
        <f t="shared" si="4"/>
        <v>11984.58</v>
      </c>
      <c r="I20" s="86">
        <f t="shared" si="4"/>
        <v>11984.58</v>
      </c>
      <c r="J20" s="86">
        <f t="shared" si="4"/>
        <v>11984.58</v>
      </c>
      <c r="K20" s="86">
        <f t="shared" si="4"/>
        <v>11984.58</v>
      </c>
      <c r="L20" s="86">
        <f t="shared" si="4"/>
        <v>11984.58</v>
      </c>
      <c r="M20" s="86">
        <f t="shared" si="4"/>
        <v>11984.58</v>
      </c>
      <c r="N20" s="86">
        <f t="shared" si="4"/>
        <v>11984.58</v>
      </c>
      <c r="O20" s="86">
        <f t="shared" si="4"/>
        <v>11984.58</v>
      </c>
      <c r="P20" s="86">
        <f t="shared" si="4"/>
        <v>11984.58</v>
      </c>
      <c r="Q20" s="86">
        <f>SUM(E20:P20)</f>
        <v>143814.96</v>
      </c>
      <c r="R20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" sqref="A6:Q14"/>
    </sheetView>
  </sheetViews>
  <sheetFormatPr defaultRowHeight="15" x14ac:dyDescent="0.25"/>
  <cols>
    <col min="1" max="1" width="40.42578125" style="31" customWidth="1"/>
    <col min="2" max="2" width="9.140625" style="32"/>
    <col min="3" max="4" width="9.140625" style="70"/>
    <col min="5" max="16" width="9.140625" style="71"/>
    <col min="17" max="17" width="11.5703125" style="71" bestFit="1" customWidth="1"/>
    <col min="18" max="18" width="9.140625" style="71"/>
    <col min="19" max="19" width="9.140625" style="31"/>
    <col min="20" max="20" width="65.28515625" style="31" customWidth="1"/>
    <col min="21" max="16384" width="9.140625" style="31"/>
  </cols>
  <sheetData>
    <row r="1" spans="1:20" x14ac:dyDescent="0.25">
      <c r="A1" s="12" t="s">
        <v>405</v>
      </c>
    </row>
    <row r="2" spans="1:20" x14ac:dyDescent="0.25">
      <c r="A2" s="12" t="s">
        <v>364</v>
      </c>
    </row>
    <row r="4" spans="1:20" s="72" customFormat="1" x14ac:dyDescent="0.25">
      <c r="A4" s="72" t="s">
        <v>356</v>
      </c>
      <c r="B4" s="72" t="s">
        <v>214</v>
      </c>
      <c r="C4" s="73" t="s">
        <v>357</v>
      </c>
      <c r="D4" s="73" t="s">
        <v>403</v>
      </c>
      <c r="E4" s="74" t="s">
        <v>391</v>
      </c>
      <c r="F4" s="74" t="s">
        <v>392</v>
      </c>
      <c r="G4" s="74" t="s">
        <v>393</v>
      </c>
      <c r="H4" s="74" t="s">
        <v>394</v>
      </c>
      <c r="I4" s="74" t="s">
        <v>395</v>
      </c>
      <c r="J4" s="74" t="s">
        <v>396</v>
      </c>
      <c r="K4" s="74" t="s">
        <v>397</v>
      </c>
      <c r="L4" s="74" t="s">
        <v>398</v>
      </c>
      <c r="M4" s="74" t="s">
        <v>399</v>
      </c>
      <c r="N4" s="74" t="s">
        <v>400</v>
      </c>
      <c r="O4" s="74" t="s">
        <v>401</v>
      </c>
      <c r="P4" s="74" t="s">
        <v>402</v>
      </c>
      <c r="Q4" s="75" t="s">
        <v>165</v>
      </c>
      <c r="R4" s="75" t="s">
        <v>358</v>
      </c>
      <c r="S4" s="72" t="s">
        <v>0</v>
      </c>
      <c r="T4" s="72" t="s">
        <v>203</v>
      </c>
    </row>
    <row r="6" spans="1:20" s="24" customFormat="1" x14ac:dyDescent="0.25">
      <c r="A6" s="153" t="s">
        <v>496</v>
      </c>
      <c r="B6" s="161" t="s">
        <v>505</v>
      </c>
      <c r="C6" s="70">
        <v>2850</v>
      </c>
      <c r="D6" s="79">
        <v>26.997894736842106</v>
      </c>
      <c r="E6" s="71">
        <v>0</v>
      </c>
      <c r="F6" s="71">
        <f>E6</f>
        <v>0</v>
      </c>
      <c r="G6" s="71">
        <f t="shared" ref="G6:P6" si="0">F6</f>
        <v>0</v>
      </c>
      <c r="H6" s="71">
        <f t="shared" si="0"/>
        <v>0</v>
      </c>
      <c r="I6" s="71">
        <f t="shared" si="0"/>
        <v>0</v>
      </c>
      <c r="J6" s="71">
        <f t="shared" si="0"/>
        <v>0</v>
      </c>
      <c r="K6" s="71">
        <f t="shared" si="0"/>
        <v>0</v>
      </c>
      <c r="L6" s="71">
        <f t="shared" si="0"/>
        <v>0</v>
      </c>
      <c r="M6" s="71">
        <f t="shared" si="0"/>
        <v>0</v>
      </c>
      <c r="N6" s="71">
        <f t="shared" si="0"/>
        <v>0</v>
      </c>
      <c r="O6" s="71">
        <f t="shared" si="0"/>
        <v>0</v>
      </c>
      <c r="P6" s="71">
        <f t="shared" si="0"/>
        <v>0</v>
      </c>
      <c r="Q6" s="71">
        <f>SUM(E6:P6)</f>
        <v>0</v>
      </c>
      <c r="R6" s="78"/>
    </row>
    <row r="7" spans="1:20" x14ac:dyDescent="0.25">
      <c r="A7" s="54" t="s">
        <v>497</v>
      </c>
      <c r="B7" s="161" t="s">
        <v>505</v>
      </c>
      <c r="C7" s="76">
        <f>12835+1958+2403</f>
        <v>17196</v>
      </c>
      <c r="D7" s="77">
        <v>16.23</v>
      </c>
      <c r="E7" s="71">
        <v>0</v>
      </c>
      <c r="F7" s="71">
        <f t="shared" ref="F7:P14" si="1">E7</f>
        <v>0</v>
      </c>
      <c r="G7" s="71">
        <f t="shared" si="1"/>
        <v>0</v>
      </c>
      <c r="H7" s="71">
        <f t="shared" si="1"/>
        <v>0</v>
      </c>
      <c r="I7" s="71">
        <f t="shared" si="1"/>
        <v>0</v>
      </c>
      <c r="J7" s="71">
        <f t="shared" si="1"/>
        <v>0</v>
      </c>
      <c r="K7" s="71">
        <f t="shared" si="1"/>
        <v>0</v>
      </c>
      <c r="L7" s="71">
        <f t="shared" si="1"/>
        <v>0</v>
      </c>
      <c r="M7" s="71">
        <f t="shared" si="1"/>
        <v>0</v>
      </c>
      <c r="N7" s="71">
        <f t="shared" si="1"/>
        <v>0</v>
      </c>
      <c r="O7" s="71">
        <f t="shared" si="1"/>
        <v>0</v>
      </c>
      <c r="P7" s="71">
        <f t="shared" si="1"/>
        <v>0</v>
      </c>
      <c r="Q7" s="78">
        <f t="shared" ref="Q7:Q9" si="2">SUM(E7:P7)</f>
        <v>0</v>
      </c>
    </row>
    <row r="8" spans="1:20" s="24" customFormat="1" x14ac:dyDescent="0.25">
      <c r="A8" s="54" t="s">
        <v>498</v>
      </c>
      <c r="B8" s="161" t="s">
        <v>505</v>
      </c>
      <c r="C8" s="70">
        <v>1240</v>
      </c>
      <c r="D8" s="79">
        <v>21.492967741935484</v>
      </c>
      <c r="E8" s="71">
        <v>0</v>
      </c>
      <c r="F8" s="71">
        <f t="shared" si="1"/>
        <v>0</v>
      </c>
      <c r="G8" s="71">
        <f t="shared" si="1"/>
        <v>0</v>
      </c>
      <c r="H8" s="71">
        <f t="shared" si="1"/>
        <v>0</v>
      </c>
      <c r="I8" s="71">
        <f t="shared" si="1"/>
        <v>0</v>
      </c>
      <c r="J8" s="71">
        <f t="shared" si="1"/>
        <v>0</v>
      </c>
      <c r="K8" s="71">
        <f t="shared" si="1"/>
        <v>0</v>
      </c>
      <c r="L8" s="71">
        <f t="shared" si="1"/>
        <v>0</v>
      </c>
      <c r="M8" s="71">
        <f t="shared" si="1"/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2"/>
        <v>0</v>
      </c>
      <c r="R8" s="78"/>
    </row>
    <row r="9" spans="1:20" x14ac:dyDescent="0.25">
      <c r="A9" s="54" t="s">
        <v>499</v>
      </c>
      <c r="B9" s="161" t="s">
        <v>505</v>
      </c>
      <c r="C9" s="76">
        <v>976</v>
      </c>
      <c r="D9" s="77">
        <v>24.041065573770489</v>
      </c>
      <c r="E9" s="71">
        <v>0</v>
      </c>
      <c r="F9" s="71">
        <f t="shared" si="1"/>
        <v>0</v>
      </c>
      <c r="G9" s="71">
        <f t="shared" si="1"/>
        <v>0</v>
      </c>
      <c r="H9" s="71">
        <f t="shared" si="1"/>
        <v>0</v>
      </c>
      <c r="I9" s="71">
        <f t="shared" si="1"/>
        <v>0</v>
      </c>
      <c r="J9" s="71">
        <f t="shared" si="1"/>
        <v>0</v>
      </c>
      <c r="K9" s="71">
        <f t="shared" si="1"/>
        <v>0</v>
      </c>
      <c r="L9" s="71">
        <f t="shared" si="1"/>
        <v>0</v>
      </c>
      <c r="M9" s="71">
        <f t="shared" si="1"/>
        <v>0</v>
      </c>
      <c r="N9" s="71">
        <f t="shared" si="1"/>
        <v>0</v>
      </c>
      <c r="O9" s="71">
        <f t="shared" si="1"/>
        <v>0</v>
      </c>
      <c r="P9" s="71">
        <f t="shared" si="1"/>
        <v>0</v>
      </c>
      <c r="Q9" s="78">
        <f t="shared" si="2"/>
        <v>0</v>
      </c>
    </row>
    <row r="10" spans="1:20" s="24" customFormat="1" x14ac:dyDescent="0.25">
      <c r="A10" s="54" t="s">
        <v>500</v>
      </c>
      <c r="B10" s="161" t="s">
        <v>505</v>
      </c>
      <c r="C10" s="70">
        <v>1216</v>
      </c>
      <c r="D10" s="79">
        <v>24.345592105263155</v>
      </c>
      <c r="E10" s="71">
        <v>0</v>
      </c>
      <c r="F10" s="71">
        <f t="shared" si="1"/>
        <v>0</v>
      </c>
      <c r="G10" s="71">
        <f t="shared" si="1"/>
        <v>0</v>
      </c>
      <c r="H10" s="71">
        <f t="shared" si="1"/>
        <v>0</v>
      </c>
      <c r="I10" s="71">
        <f t="shared" si="1"/>
        <v>0</v>
      </c>
      <c r="J10" s="71">
        <f t="shared" si="1"/>
        <v>0</v>
      </c>
      <c r="K10" s="71">
        <f t="shared" si="1"/>
        <v>0</v>
      </c>
      <c r="L10" s="71">
        <f t="shared" si="1"/>
        <v>0</v>
      </c>
      <c r="M10" s="71">
        <f t="shared" si="1"/>
        <v>0</v>
      </c>
      <c r="N10" s="71">
        <f t="shared" si="1"/>
        <v>0</v>
      </c>
      <c r="O10" s="71">
        <f t="shared" si="1"/>
        <v>0</v>
      </c>
      <c r="P10" s="71">
        <f t="shared" si="1"/>
        <v>0</v>
      </c>
      <c r="Q10" s="71">
        <f>SUM(E10:P10)</f>
        <v>0</v>
      </c>
      <c r="R10" s="78"/>
    </row>
    <row r="11" spans="1:20" x14ac:dyDescent="0.25">
      <c r="A11" s="54" t="s">
        <v>501</v>
      </c>
      <c r="B11" s="161" t="s">
        <v>505</v>
      </c>
      <c r="C11" s="70">
        <v>24000</v>
      </c>
      <c r="D11" s="70">
        <v>16</v>
      </c>
      <c r="E11" s="71">
        <v>0</v>
      </c>
      <c r="F11" s="71">
        <f t="shared" si="1"/>
        <v>0</v>
      </c>
      <c r="G11" s="71">
        <f t="shared" si="1"/>
        <v>0</v>
      </c>
      <c r="H11" s="71">
        <f t="shared" si="1"/>
        <v>0</v>
      </c>
      <c r="I11" s="71">
        <f t="shared" si="1"/>
        <v>0</v>
      </c>
      <c r="J11" s="71">
        <f t="shared" si="1"/>
        <v>0</v>
      </c>
      <c r="K11" s="71">
        <f t="shared" si="1"/>
        <v>0</v>
      </c>
      <c r="L11" s="71">
        <f t="shared" si="1"/>
        <v>0</v>
      </c>
      <c r="M11" s="71">
        <f t="shared" si="1"/>
        <v>0</v>
      </c>
      <c r="N11" s="71">
        <f t="shared" si="1"/>
        <v>0</v>
      </c>
      <c r="O11" s="71">
        <f t="shared" si="1"/>
        <v>0</v>
      </c>
      <c r="P11" s="71">
        <f t="shared" si="1"/>
        <v>0</v>
      </c>
      <c r="Q11" s="71">
        <f t="shared" ref="Q11:Q13" si="3">SUM(E11:P11)</f>
        <v>0</v>
      </c>
      <c r="T11" s="31" t="s">
        <v>359</v>
      </c>
    </row>
    <row r="12" spans="1:20" s="24" customFormat="1" x14ac:dyDescent="0.25">
      <c r="A12" s="54" t="s">
        <v>502</v>
      </c>
      <c r="B12" s="161" t="s">
        <v>505</v>
      </c>
      <c r="C12" s="73">
        <v>2000</v>
      </c>
      <c r="D12" s="70">
        <v>21.995999999999999</v>
      </c>
      <c r="E12" s="71">
        <v>0</v>
      </c>
      <c r="F12" s="71">
        <f t="shared" si="1"/>
        <v>0</v>
      </c>
      <c r="G12" s="71">
        <f t="shared" si="1"/>
        <v>0</v>
      </c>
      <c r="H12" s="71">
        <f t="shared" si="1"/>
        <v>0</v>
      </c>
      <c r="I12" s="71">
        <f t="shared" si="1"/>
        <v>0</v>
      </c>
      <c r="J12" s="71">
        <f t="shared" si="1"/>
        <v>0</v>
      </c>
      <c r="K12" s="71">
        <f t="shared" si="1"/>
        <v>0</v>
      </c>
      <c r="L12" s="71">
        <f t="shared" si="1"/>
        <v>0</v>
      </c>
      <c r="M12" s="71">
        <f t="shared" si="1"/>
        <v>0</v>
      </c>
      <c r="N12" s="71">
        <f t="shared" si="1"/>
        <v>0</v>
      </c>
      <c r="O12" s="71">
        <f t="shared" si="1"/>
        <v>0</v>
      </c>
      <c r="P12" s="71">
        <f t="shared" si="1"/>
        <v>0</v>
      </c>
      <c r="Q12" s="71">
        <f t="shared" si="3"/>
        <v>0</v>
      </c>
      <c r="R12" s="78"/>
      <c r="T12" s="24" t="s">
        <v>360</v>
      </c>
    </row>
    <row r="13" spans="1:20" x14ac:dyDescent="0.25">
      <c r="A13" s="157" t="s">
        <v>503</v>
      </c>
      <c r="B13" s="161" t="s">
        <v>505</v>
      </c>
      <c r="C13" s="80">
        <v>1980</v>
      </c>
      <c r="D13" s="80">
        <v>20</v>
      </c>
      <c r="E13" s="71">
        <v>0</v>
      </c>
      <c r="F13" s="71">
        <f t="shared" si="1"/>
        <v>0</v>
      </c>
      <c r="G13" s="71">
        <f t="shared" si="1"/>
        <v>0</v>
      </c>
      <c r="H13" s="71">
        <f t="shared" si="1"/>
        <v>0</v>
      </c>
      <c r="I13" s="71">
        <f t="shared" si="1"/>
        <v>0</v>
      </c>
      <c r="J13" s="71">
        <f t="shared" si="1"/>
        <v>0</v>
      </c>
      <c r="K13" s="71">
        <f t="shared" si="1"/>
        <v>0</v>
      </c>
      <c r="L13" s="71">
        <f t="shared" si="1"/>
        <v>0</v>
      </c>
      <c r="M13" s="71">
        <f t="shared" si="1"/>
        <v>0</v>
      </c>
      <c r="N13" s="71">
        <f t="shared" si="1"/>
        <v>0</v>
      </c>
      <c r="O13" s="71">
        <f t="shared" si="1"/>
        <v>0</v>
      </c>
      <c r="P13" s="71">
        <f t="shared" si="1"/>
        <v>0</v>
      </c>
      <c r="Q13" s="81">
        <f t="shared" si="3"/>
        <v>0</v>
      </c>
      <c r="T13" s="31" t="s">
        <v>361</v>
      </c>
    </row>
    <row r="14" spans="1:20" x14ac:dyDescent="0.25">
      <c r="A14" s="31" t="s">
        <v>504</v>
      </c>
      <c r="B14" s="161" t="s">
        <v>505</v>
      </c>
      <c r="C14" s="73">
        <f>SUM(C7:C13)</f>
        <v>48608</v>
      </c>
      <c r="E14" s="71">
        <v>0</v>
      </c>
      <c r="F14" s="71">
        <f t="shared" si="1"/>
        <v>0</v>
      </c>
      <c r="G14" s="71">
        <f t="shared" si="1"/>
        <v>0</v>
      </c>
      <c r="H14" s="71">
        <f t="shared" si="1"/>
        <v>0</v>
      </c>
      <c r="I14" s="71">
        <f t="shared" si="1"/>
        <v>0</v>
      </c>
      <c r="J14" s="71">
        <f t="shared" si="1"/>
        <v>0</v>
      </c>
      <c r="K14" s="71">
        <f t="shared" si="1"/>
        <v>0</v>
      </c>
      <c r="L14" s="71">
        <f t="shared" si="1"/>
        <v>0</v>
      </c>
      <c r="M14" s="71">
        <f t="shared" si="1"/>
        <v>0</v>
      </c>
      <c r="N14" s="71">
        <f t="shared" si="1"/>
        <v>0</v>
      </c>
      <c r="O14" s="71">
        <f t="shared" si="1"/>
        <v>0</v>
      </c>
      <c r="P14" s="71">
        <f t="shared" si="1"/>
        <v>0</v>
      </c>
    </row>
    <row r="15" spans="1:20" x14ac:dyDescent="0.25">
      <c r="B15" s="161"/>
      <c r="C15" s="73"/>
    </row>
    <row r="16" spans="1:20" x14ac:dyDescent="0.25">
      <c r="A16" s="83" t="s">
        <v>206</v>
      </c>
      <c r="B16" s="84"/>
      <c r="C16" s="85"/>
      <c r="D16" s="85"/>
      <c r="E16" s="86">
        <f t="shared" ref="E16:P16" si="4">SUM(E6:E14)</f>
        <v>0</v>
      </c>
      <c r="F16" s="86">
        <f t="shared" si="4"/>
        <v>0</v>
      </c>
      <c r="G16" s="86">
        <f t="shared" si="4"/>
        <v>0</v>
      </c>
      <c r="H16" s="86">
        <f t="shared" si="4"/>
        <v>0</v>
      </c>
      <c r="I16" s="86">
        <f t="shared" si="4"/>
        <v>0</v>
      </c>
      <c r="J16" s="86">
        <f t="shared" si="4"/>
        <v>0</v>
      </c>
      <c r="K16" s="86">
        <f t="shared" si="4"/>
        <v>0</v>
      </c>
      <c r="L16" s="86">
        <f t="shared" si="4"/>
        <v>0</v>
      </c>
      <c r="M16" s="86">
        <f t="shared" si="4"/>
        <v>0</v>
      </c>
      <c r="N16" s="86">
        <f t="shared" si="4"/>
        <v>0</v>
      </c>
      <c r="O16" s="86">
        <f t="shared" si="4"/>
        <v>0</v>
      </c>
      <c r="P16" s="86">
        <f t="shared" si="4"/>
        <v>0</v>
      </c>
      <c r="Q16" s="86">
        <f>SUM(E16:P16)</f>
        <v>0</v>
      </c>
    </row>
    <row r="22" spans="1:16" x14ac:dyDescent="0.25">
      <c r="A22" s="91" t="s">
        <v>488</v>
      </c>
      <c r="E22" s="95">
        <v>45816.15</v>
      </c>
      <c r="F22" s="95">
        <v>0</v>
      </c>
      <c r="G22" s="95">
        <v>0</v>
      </c>
      <c r="H22" s="95">
        <v>45816.15</v>
      </c>
      <c r="I22" s="95">
        <v>0</v>
      </c>
      <c r="J22" s="95">
        <v>0</v>
      </c>
      <c r="K22" s="95">
        <v>45816.15</v>
      </c>
      <c r="L22" s="95">
        <v>0</v>
      </c>
      <c r="M22" s="95">
        <v>0</v>
      </c>
      <c r="N22" s="95">
        <v>45816.15</v>
      </c>
      <c r="O22" s="95">
        <v>0</v>
      </c>
      <c r="P22" s="95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6" sqref="A26"/>
    </sheetView>
  </sheetViews>
  <sheetFormatPr defaultRowHeight="15" x14ac:dyDescent="0.25"/>
  <cols>
    <col min="1" max="1" width="40.42578125" style="31" customWidth="1"/>
    <col min="2" max="2" width="9.140625" style="32"/>
    <col min="3" max="3" width="9.140625" style="70"/>
    <col min="4" max="16" width="9.140625" style="71"/>
    <col min="17" max="17" width="11.5703125" style="71" bestFit="1" customWidth="1"/>
    <col min="18" max="18" width="9.140625" style="31"/>
    <col min="19" max="19" width="65.28515625" style="31" customWidth="1"/>
    <col min="20" max="16384" width="9.140625" style="31"/>
  </cols>
  <sheetData>
    <row r="1" spans="1:19" x14ac:dyDescent="0.25">
      <c r="A1" s="12" t="s">
        <v>405</v>
      </c>
    </row>
    <row r="2" spans="1:19" x14ac:dyDescent="0.25">
      <c r="A2" s="12" t="s">
        <v>365</v>
      </c>
    </row>
    <row r="4" spans="1:19" s="72" customFormat="1" x14ac:dyDescent="0.25">
      <c r="A4" s="72" t="s">
        <v>356</v>
      </c>
      <c r="B4" s="72" t="s">
        <v>214</v>
      </c>
      <c r="C4" s="73" t="s">
        <v>357</v>
      </c>
      <c r="D4" s="73" t="s">
        <v>403</v>
      </c>
      <c r="E4" s="74" t="s">
        <v>391</v>
      </c>
      <c r="F4" s="74" t="s">
        <v>392</v>
      </c>
      <c r="G4" s="74" t="s">
        <v>393</v>
      </c>
      <c r="H4" s="74" t="s">
        <v>394</v>
      </c>
      <c r="I4" s="74" t="s">
        <v>395</v>
      </c>
      <c r="J4" s="74" t="s">
        <v>396</v>
      </c>
      <c r="K4" s="74" t="s">
        <v>397</v>
      </c>
      <c r="L4" s="74" t="s">
        <v>398</v>
      </c>
      <c r="M4" s="74" t="s">
        <v>399</v>
      </c>
      <c r="N4" s="74" t="s">
        <v>400</v>
      </c>
      <c r="O4" s="74" t="s">
        <v>401</v>
      </c>
      <c r="P4" s="74" t="s">
        <v>402</v>
      </c>
      <c r="Q4" s="75" t="s">
        <v>165</v>
      </c>
      <c r="R4" s="72" t="s">
        <v>0</v>
      </c>
      <c r="S4" s="72" t="s">
        <v>203</v>
      </c>
    </row>
    <row r="6" spans="1:19" s="24" customFormat="1" x14ac:dyDescent="0.25">
      <c r="A6" s="153" t="s">
        <v>496</v>
      </c>
      <c r="B6" s="161" t="s">
        <v>505</v>
      </c>
      <c r="C6" s="70">
        <v>2850</v>
      </c>
      <c r="D6" s="79">
        <v>26.997894736842106</v>
      </c>
      <c r="E6" s="71">
        <v>0</v>
      </c>
      <c r="F6" s="71">
        <f>E6</f>
        <v>0</v>
      </c>
      <c r="G6" s="71">
        <f t="shared" ref="G6:P6" si="0">F6</f>
        <v>0</v>
      </c>
      <c r="H6" s="71">
        <f t="shared" si="0"/>
        <v>0</v>
      </c>
      <c r="I6" s="71">
        <f t="shared" si="0"/>
        <v>0</v>
      </c>
      <c r="J6" s="71">
        <f t="shared" si="0"/>
        <v>0</v>
      </c>
      <c r="K6" s="71">
        <f t="shared" si="0"/>
        <v>0</v>
      </c>
      <c r="L6" s="71">
        <f t="shared" si="0"/>
        <v>0</v>
      </c>
      <c r="M6" s="71">
        <f t="shared" si="0"/>
        <v>0</v>
      </c>
      <c r="N6" s="71">
        <f t="shared" si="0"/>
        <v>0</v>
      </c>
      <c r="O6" s="71">
        <f t="shared" si="0"/>
        <v>0</v>
      </c>
      <c r="P6" s="71">
        <f t="shared" si="0"/>
        <v>0</v>
      </c>
      <c r="Q6" s="71">
        <f>SUM(E6:P6)</f>
        <v>0</v>
      </c>
    </row>
    <row r="7" spans="1:19" x14ac:dyDescent="0.25">
      <c r="A7" s="54" t="s">
        <v>497</v>
      </c>
      <c r="B7" s="161" t="s">
        <v>505</v>
      </c>
      <c r="C7" s="76">
        <f>12835+1958+2403</f>
        <v>17196</v>
      </c>
      <c r="D7" s="77">
        <v>16.23</v>
      </c>
      <c r="E7" s="71">
        <v>0</v>
      </c>
      <c r="F7" s="71">
        <f t="shared" ref="F7:P14" si="1">E7</f>
        <v>0</v>
      </c>
      <c r="G7" s="71">
        <f t="shared" si="1"/>
        <v>0</v>
      </c>
      <c r="H7" s="71">
        <f t="shared" si="1"/>
        <v>0</v>
      </c>
      <c r="I7" s="71">
        <f t="shared" si="1"/>
        <v>0</v>
      </c>
      <c r="J7" s="71">
        <f t="shared" si="1"/>
        <v>0</v>
      </c>
      <c r="K7" s="71">
        <f t="shared" si="1"/>
        <v>0</v>
      </c>
      <c r="L7" s="71">
        <f t="shared" si="1"/>
        <v>0</v>
      </c>
      <c r="M7" s="71">
        <f t="shared" si="1"/>
        <v>0</v>
      </c>
      <c r="N7" s="71">
        <f t="shared" si="1"/>
        <v>0</v>
      </c>
      <c r="O7" s="71">
        <f t="shared" si="1"/>
        <v>0</v>
      </c>
      <c r="P7" s="71">
        <f t="shared" si="1"/>
        <v>0</v>
      </c>
      <c r="Q7" s="78">
        <f t="shared" ref="Q7:Q9" si="2">SUM(E7:P7)</f>
        <v>0</v>
      </c>
    </row>
    <row r="8" spans="1:19" s="24" customFormat="1" x14ac:dyDescent="0.25">
      <c r="A8" s="54" t="s">
        <v>498</v>
      </c>
      <c r="B8" s="161" t="s">
        <v>505</v>
      </c>
      <c r="C8" s="70">
        <v>1240</v>
      </c>
      <c r="D8" s="79">
        <v>21.492967741935484</v>
      </c>
      <c r="E8" s="71">
        <v>0</v>
      </c>
      <c r="F8" s="71">
        <f t="shared" si="1"/>
        <v>0</v>
      </c>
      <c r="G8" s="71">
        <f t="shared" si="1"/>
        <v>0</v>
      </c>
      <c r="H8" s="71">
        <f t="shared" si="1"/>
        <v>0</v>
      </c>
      <c r="I8" s="71">
        <f t="shared" si="1"/>
        <v>0</v>
      </c>
      <c r="J8" s="71">
        <f t="shared" si="1"/>
        <v>0</v>
      </c>
      <c r="K8" s="71">
        <f t="shared" si="1"/>
        <v>0</v>
      </c>
      <c r="L8" s="71">
        <f t="shared" si="1"/>
        <v>0</v>
      </c>
      <c r="M8" s="71">
        <f t="shared" si="1"/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2"/>
        <v>0</v>
      </c>
    </row>
    <row r="9" spans="1:19" x14ac:dyDescent="0.25">
      <c r="A9" s="54" t="s">
        <v>499</v>
      </c>
      <c r="B9" s="161" t="s">
        <v>505</v>
      </c>
      <c r="C9" s="76">
        <v>976</v>
      </c>
      <c r="D9" s="77">
        <v>24.041065573770489</v>
      </c>
      <c r="E9" s="71">
        <v>0</v>
      </c>
      <c r="F9" s="71">
        <f t="shared" si="1"/>
        <v>0</v>
      </c>
      <c r="G9" s="71">
        <f t="shared" si="1"/>
        <v>0</v>
      </c>
      <c r="H9" s="71">
        <f t="shared" si="1"/>
        <v>0</v>
      </c>
      <c r="I9" s="71">
        <f t="shared" si="1"/>
        <v>0</v>
      </c>
      <c r="J9" s="71">
        <f t="shared" si="1"/>
        <v>0</v>
      </c>
      <c r="K9" s="71">
        <f t="shared" si="1"/>
        <v>0</v>
      </c>
      <c r="L9" s="71">
        <f t="shared" si="1"/>
        <v>0</v>
      </c>
      <c r="M9" s="71">
        <f t="shared" si="1"/>
        <v>0</v>
      </c>
      <c r="N9" s="71">
        <f t="shared" si="1"/>
        <v>0</v>
      </c>
      <c r="O9" s="71">
        <f t="shared" si="1"/>
        <v>0</v>
      </c>
      <c r="P9" s="71">
        <f t="shared" si="1"/>
        <v>0</v>
      </c>
      <c r="Q9" s="78">
        <f t="shared" si="2"/>
        <v>0</v>
      </c>
    </row>
    <row r="10" spans="1:19" s="24" customFormat="1" x14ac:dyDescent="0.25">
      <c r="A10" s="54" t="s">
        <v>500</v>
      </c>
      <c r="B10" s="161" t="s">
        <v>505</v>
      </c>
      <c r="C10" s="70">
        <v>1216</v>
      </c>
      <c r="D10" s="79">
        <v>24.345592105263155</v>
      </c>
      <c r="E10" s="71">
        <v>0</v>
      </c>
      <c r="F10" s="71">
        <f t="shared" si="1"/>
        <v>0</v>
      </c>
      <c r="G10" s="71">
        <f t="shared" si="1"/>
        <v>0</v>
      </c>
      <c r="H10" s="71">
        <f t="shared" si="1"/>
        <v>0</v>
      </c>
      <c r="I10" s="71">
        <f t="shared" si="1"/>
        <v>0</v>
      </c>
      <c r="J10" s="71">
        <f t="shared" si="1"/>
        <v>0</v>
      </c>
      <c r="K10" s="71">
        <f t="shared" si="1"/>
        <v>0</v>
      </c>
      <c r="L10" s="71">
        <f t="shared" si="1"/>
        <v>0</v>
      </c>
      <c r="M10" s="71">
        <f t="shared" si="1"/>
        <v>0</v>
      </c>
      <c r="N10" s="71">
        <f t="shared" si="1"/>
        <v>0</v>
      </c>
      <c r="O10" s="71">
        <f t="shared" si="1"/>
        <v>0</v>
      </c>
      <c r="P10" s="71">
        <f t="shared" si="1"/>
        <v>0</v>
      </c>
      <c r="Q10" s="71">
        <f>SUM(E10:P10)</f>
        <v>0</v>
      </c>
    </row>
    <row r="11" spans="1:19" x14ac:dyDescent="0.25">
      <c r="A11" s="54" t="s">
        <v>501</v>
      </c>
      <c r="B11" s="161" t="s">
        <v>505</v>
      </c>
      <c r="C11" s="70">
        <v>24000</v>
      </c>
      <c r="D11" s="70">
        <v>16</v>
      </c>
      <c r="E11" s="71">
        <v>0</v>
      </c>
      <c r="F11" s="71">
        <f t="shared" si="1"/>
        <v>0</v>
      </c>
      <c r="G11" s="71">
        <f t="shared" si="1"/>
        <v>0</v>
      </c>
      <c r="H11" s="71">
        <f t="shared" si="1"/>
        <v>0</v>
      </c>
      <c r="I11" s="71">
        <f t="shared" si="1"/>
        <v>0</v>
      </c>
      <c r="J11" s="71">
        <f t="shared" si="1"/>
        <v>0</v>
      </c>
      <c r="K11" s="71">
        <f t="shared" si="1"/>
        <v>0</v>
      </c>
      <c r="L11" s="71">
        <f t="shared" si="1"/>
        <v>0</v>
      </c>
      <c r="M11" s="71">
        <f t="shared" si="1"/>
        <v>0</v>
      </c>
      <c r="N11" s="71">
        <f t="shared" si="1"/>
        <v>0</v>
      </c>
      <c r="O11" s="71">
        <f t="shared" si="1"/>
        <v>0</v>
      </c>
      <c r="P11" s="71">
        <f t="shared" si="1"/>
        <v>0</v>
      </c>
      <c r="Q11" s="71">
        <f t="shared" ref="Q11:Q13" si="3">SUM(E11:P11)</f>
        <v>0</v>
      </c>
    </row>
    <row r="12" spans="1:19" s="24" customFormat="1" x14ac:dyDescent="0.25">
      <c r="A12" s="54" t="s">
        <v>502</v>
      </c>
      <c r="B12" s="161" t="s">
        <v>505</v>
      </c>
      <c r="C12" s="73">
        <v>2000</v>
      </c>
      <c r="D12" s="70">
        <v>21.995999999999999</v>
      </c>
      <c r="E12" s="71">
        <v>0</v>
      </c>
      <c r="F12" s="71">
        <f t="shared" si="1"/>
        <v>0</v>
      </c>
      <c r="G12" s="71">
        <f t="shared" si="1"/>
        <v>0</v>
      </c>
      <c r="H12" s="71">
        <f t="shared" si="1"/>
        <v>0</v>
      </c>
      <c r="I12" s="71">
        <f t="shared" si="1"/>
        <v>0</v>
      </c>
      <c r="J12" s="71">
        <f t="shared" si="1"/>
        <v>0</v>
      </c>
      <c r="K12" s="71">
        <f t="shared" si="1"/>
        <v>0</v>
      </c>
      <c r="L12" s="71">
        <f t="shared" si="1"/>
        <v>0</v>
      </c>
      <c r="M12" s="71">
        <f t="shared" si="1"/>
        <v>0</v>
      </c>
      <c r="N12" s="71">
        <f t="shared" si="1"/>
        <v>0</v>
      </c>
      <c r="O12" s="71">
        <f t="shared" si="1"/>
        <v>0</v>
      </c>
      <c r="P12" s="71">
        <f t="shared" si="1"/>
        <v>0</v>
      </c>
      <c r="Q12" s="71">
        <f t="shared" si="3"/>
        <v>0</v>
      </c>
    </row>
    <row r="13" spans="1:19" x14ac:dyDescent="0.25">
      <c r="A13" s="157" t="s">
        <v>503</v>
      </c>
      <c r="B13" s="161" t="s">
        <v>505</v>
      </c>
      <c r="C13" s="80">
        <v>1980</v>
      </c>
      <c r="D13" s="80">
        <v>20</v>
      </c>
      <c r="E13" s="71">
        <v>0</v>
      </c>
      <c r="F13" s="71">
        <f t="shared" si="1"/>
        <v>0</v>
      </c>
      <c r="G13" s="71">
        <f t="shared" si="1"/>
        <v>0</v>
      </c>
      <c r="H13" s="71">
        <f t="shared" si="1"/>
        <v>0</v>
      </c>
      <c r="I13" s="71">
        <f t="shared" si="1"/>
        <v>0</v>
      </c>
      <c r="J13" s="71">
        <f t="shared" si="1"/>
        <v>0</v>
      </c>
      <c r="K13" s="71">
        <f t="shared" si="1"/>
        <v>0</v>
      </c>
      <c r="L13" s="71">
        <f t="shared" si="1"/>
        <v>0</v>
      </c>
      <c r="M13" s="71">
        <f t="shared" si="1"/>
        <v>0</v>
      </c>
      <c r="N13" s="71">
        <f t="shared" si="1"/>
        <v>0</v>
      </c>
      <c r="O13" s="71">
        <f t="shared" si="1"/>
        <v>0</v>
      </c>
      <c r="P13" s="71">
        <f t="shared" si="1"/>
        <v>0</v>
      </c>
      <c r="Q13" s="81">
        <f t="shared" si="3"/>
        <v>0</v>
      </c>
    </row>
    <row r="14" spans="1:19" x14ac:dyDescent="0.25">
      <c r="A14" s="31" t="s">
        <v>504</v>
      </c>
      <c r="B14" s="161" t="s">
        <v>505</v>
      </c>
      <c r="C14" s="73">
        <f>SUM(C7:C13)</f>
        <v>48608</v>
      </c>
      <c r="D14" s="70"/>
      <c r="E14" s="71">
        <v>0</v>
      </c>
      <c r="F14" s="71">
        <f t="shared" si="1"/>
        <v>0</v>
      </c>
      <c r="G14" s="71">
        <f t="shared" si="1"/>
        <v>0</v>
      </c>
      <c r="H14" s="71">
        <f t="shared" si="1"/>
        <v>0</v>
      </c>
      <c r="I14" s="71">
        <f t="shared" si="1"/>
        <v>0</v>
      </c>
      <c r="J14" s="71">
        <f t="shared" si="1"/>
        <v>0</v>
      </c>
      <c r="K14" s="71">
        <f t="shared" si="1"/>
        <v>0</v>
      </c>
      <c r="L14" s="71">
        <f t="shared" si="1"/>
        <v>0</v>
      </c>
      <c r="M14" s="71">
        <f t="shared" si="1"/>
        <v>0</v>
      </c>
      <c r="N14" s="71">
        <f t="shared" si="1"/>
        <v>0</v>
      </c>
      <c r="O14" s="71">
        <f t="shared" si="1"/>
        <v>0</v>
      </c>
      <c r="P14" s="71">
        <f t="shared" si="1"/>
        <v>0</v>
      </c>
    </row>
    <row r="15" spans="1:19" x14ac:dyDescent="0.25">
      <c r="A15" s="91"/>
      <c r="D15" s="70"/>
    </row>
    <row r="16" spans="1:19" x14ac:dyDescent="0.25">
      <c r="C16" s="73">
        <f>SUM(C7:C13)</f>
        <v>48608</v>
      </c>
      <c r="D16" s="70"/>
    </row>
    <row r="17" spans="1:17" x14ac:dyDescent="0.25">
      <c r="A17" s="83" t="s">
        <v>206</v>
      </c>
      <c r="B17" s="84"/>
      <c r="C17" s="85"/>
      <c r="D17" s="85"/>
      <c r="E17" s="86">
        <f t="shared" ref="E17:P17" si="4">SUM(E6:E16)</f>
        <v>0</v>
      </c>
      <c r="F17" s="86">
        <f t="shared" si="4"/>
        <v>0</v>
      </c>
      <c r="G17" s="86">
        <f t="shared" si="4"/>
        <v>0</v>
      </c>
      <c r="H17" s="86">
        <f t="shared" si="4"/>
        <v>0</v>
      </c>
      <c r="I17" s="86">
        <f t="shared" si="4"/>
        <v>0</v>
      </c>
      <c r="J17" s="86">
        <f t="shared" si="4"/>
        <v>0</v>
      </c>
      <c r="K17" s="86">
        <f t="shared" si="4"/>
        <v>0</v>
      </c>
      <c r="L17" s="86">
        <f t="shared" si="4"/>
        <v>0</v>
      </c>
      <c r="M17" s="86">
        <f t="shared" si="4"/>
        <v>0</v>
      </c>
      <c r="N17" s="86">
        <f t="shared" si="4"/>
        <v>0</v>
      </c>
      <c r="O17" s="86">
        <f t="shared" si="4"/>
        <v>0</v>
      </c>
      <c r="P17" s="86">
        <f t="shared" si="4"/>
        <v>0</v>
      </c>
      <c r="Q17" s="86">
        <f>SUM(E17:P17)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zoomScaleNormal="100" workbookViewId="0">
      <selection activeCell="D4" sqref="D4"/>
    </sheetView>
  </sheetViews>
  <sheetFormatPr defaultRowHeight="15" x14ac:dyDescent="0.25"/>
  <cols>
    <col min="1" max="1" width="33" customWidth="1"/>
    <col min="2" max="2" width="52.85546875" customWidth="1"/>
    <col min="3" max="3" width="16.28515625" customWidth="1"/>
    <col min="4" max="4" width="12.140625" customWidth="1"/>
    <col min="5" max="5" width="15.5703125" customWidth="1"/>
    <col min="6" max="6" width="15.85546875" customWidth="1"/>
    <col min="7" max="7" width="32" customWidth="1"/>
    <col min="8" max="8" width="18.28515625" customWidth="1"/>
  </cols>
  <sheetData>
    <row r="1" spans="1:8" s="113" customFormat="1" x14ac:dyDescent="0.25">
      <c r="A1" s="112" t="s">
        <v>444</v>
      </c>
      <c r="B1" s="112" t="s">
        <v>445</v>
      </c>
      <c r="C1" s="112" t="s">
        <v>446</v>
      </c>
      <c r="D1" s="112" t="s">
        <v>447</v>
      </c>
      <c r="E1" s="112" t="s">
        <v>448</v>
      </c>
      <c r="F1" s="112" t="s">
        <v>449</v>
      </c>
      <c r="G1" s="112" t="s">
        <v>450</v>
      </c>
      <c r="H1" s="112" t="s">
        <v>451</v>
      </c>
    </row>
    <row r="2" spans="1:8" x14ac:dyDescent="0.25">
      <c r="A2" s="114"/>
      <c r="B2" s="115"/>
      <c r="C2" s="115"/>
      <c r="D2" s="115"/>
      <c r="E2" s="116"/>
      <c r="F2" s="116"/>
      <c r="G2" s="117"/>
      <c r="H2" s="118"/>
    </row>
    <row r="3" spans="1:8" ht="26.25" x14ac:dyDescent="0.25">
      <c r="A3" s="111" t="s">
        <v>452</v>
      </c>
      <c r="B3" s="119" t="s">
        <v>453</v>
      </c>
      <c r="C3" s="120" t="s">
        <v>454</v>
      </c>
      <c r="D3" s="120">
        <v>2018</v>
      </c>
      <c r="E3" s="121">
        <v>48000</v>
      </c>
      <c r="F3" s="122" t="s">
        <v>455</v>
      </c>
      <c r="G3" s="123" t="s">
        <v>456</v>
      </c>
      <c r="H3" s="124">
        <v>43191</v>
      </c>
    </row>
    <row r="4" spans="1:8" x14ac:dyDescent="0.25">
      <c r="A4" s="111" t="s">
        <v>443</v>
      </c>
      <c r="B4" s="119" t="s">
        <v>457</v>
      </c>
      <c r="C4" s="120" t="s">
        <v>454</v>
      </c>
      <c r="D4" s="120">
        <v>2017</v>
      </c>
      <c r="E4" s="121">
        <v>75000</v>
      </c>
      <c r="F4" s="122" t="s">
        <v>455</v>
      </c>
      <c r="G4" s="123" t="s">
        <v>458</v>
      </c>
      <c r="H4" s="124">
        <v>42507</v>
      </c>
    </row>
    <row r="5" spans="1:8" x14ac:dyDescent="0.25">
      <c r="A5" s="111" t="s">
        <v>459</v>
      </c>
      <c r="B5" s="119" t="s">
        <v>460</v>
      </c>
      <c r="C5" s="120" t="s">
        <v>461</v>
      </c>
      <c r="D5" s="120">
        <v>2018</v>
      </c>
      <c r="E5" s="121">
        <v>50000</v>
      </c>
      <c r="F5" s="122" t="s">
        <v>455</v>
      </c>
      <c r="G5" s="123" t="s">
        <v>462</v>
      </c>
      <c r="H5" s="124">
        <v>42508</v>
      </c>
    </row>
    <row r="6" spans="1:8" x14ac:dyDescent="0.25">
      <c r="A6" s="111"/>
      <c r="B6" s="119"/>
      <c r="C6" s="120"/>
      <c r="D6" s="120"/>
      <c r="E6" s="121"/>
      <c r="F6" s="122"/>
      <c r="G6" s="123"/>
      <c r="H6" s="124"/>
    </row>
    <row r="7" spans="1:8" x14ac:dyDescent="0.25">
      <c r="A7" s="111"/>
      <c r="B7" s="119"/>
      <c r="C7" s="120"/>
      <c r="D7" s="120"/>
      <c r="E7" s="121"/>
      <c r="F7" s="122"/>
      <c r="G7" s="123"/>
      <c r="H7" s="124"/>
    </row>
    <row r="8" spans="1:8" x14ac:dyDescent="0.25">
      <c r="A8" s="111"/>
      <c r="B8" s="119"/>
      <c r="C8" s="120"/>
      <c r="D8" s="120"/>
      <c r="E8" s="121"/>
      <c r="F8" s="122"/>
      <c r="G8" s="123"/>
      <c r="H8" s="124"/>
    </row>
    <row r="9" spans="1:8" ht="54" customHeight="1" x14ac:dyDescent="0.25">
      <c r="A9" s="111"/>
      <c r="B9" s="119"/>
      <c r="C9" s="120"/>
      <c r="D9" s="120"/>
      <c r="E9" s="121"/>
      <c r="F9" s="122"/>
      <c r="G9" s="123"/>
      <c r="H9" s="124"/>
    </row>
    <row r="10" spans="1:8" x14ac:dyDescent="0.25">
      <c r="A10" s="111"/>
      <c r="B10" s="119"/>
      <c r="C10" s="120"/>
      <c r="D10" s="120"/>
      <c r="E10" s="121"/>
      <c r="F10" s="122"/>
      <c r="G10" s="123"/>
      <c r="H10" s="124"/>
    </row>
    <row r="11" spans="1:8" x14ac:dyDescent="0.25">
      <c r="A11" s="111"/>
      <c r="B11" s="119"/>
      <c r="C11" s="120"/>
      <c r="D11" s="120"/>
      <c r="E11" s="121"/>
      <c r="F11" s="122"/>
      <c r="G11" s="123"/>
      <c r="H11" s="124"/>
    </row>
    <row r="12" spans="1:8" x14ac:dyDescent="0.25">
      <c r="A12" s="111"/>
      <c r="B12" s="119"/>
      <c r="C12" s="120"/>
      <c r="D12" s="120"/>
      <c r="E12" s="121"/>
      <c r="F12" s="122"/>
      <c r="G12" s="123"/>
      <c r="H12" s="124"/>
    </row>
    <row r="13" spans="1:8" x14ac:dyDescent="0.25">
      <c r="A13" s="111"/>
      <c r="B13" s="119"/>
      <c r="C13" s="120"/>
      <c r="D13" s="120"/>
      <c r="E13" s="121"/>
      <c r="F13" s="122"/>
      <c r="G13" s="123"/>
      <c r="H13" s="124"/>
    </row>
    <row r="14" spans="1:8" x14ac:dyDescent="0.25">
      <c r="A14" s="111"/>
      <c r="B14" s="119"/>
      <c r="C14" s="120"/>
      <c r="D14" s="120"/>
      <c r="E14" s="121"/>
      <c r="F14" s="122"/>
      <c r="G14" s="123"/>
      <c r="H14" s="124"/>
    </row>
    <row r="15" spans="1:8" x14ac:dyDescent="0.25">
      <c r="A15" s="111"/>
      <c r="B15" s="119"/>
      <c r="C15" s="120"/>
      <c r="D15" s="120"/>
      <c r="E15" s="121"/>
      <c r="F15" s="122"/>
      <c r="G15" s="123"/>
      <c r="H15" s="124"/>
    </row>
    <row r="16" spans="1:8" x14ac:dyDescent="0.25">
      <c r="A16" s="111"/>
      <c r="B16" s="119"/>
      <c r="C16" s="120"/>
      <c r="D16" s="120"/>
      <c r="E16" s="121"/>
      <c r="F16" s="122"/>
      <c r="G16" s="123"/>
      <c r="H16" s="124"/>
    </row>
    <row r="17" spans="1:8" x14ac:dyDescent="0.25">
      <c r="A17" s="111"/>
      <c r="B17" s="119"/>
      <c r="C17" s="120"/>
      <c r="D17" s="120"/>
      <c r="E17" s="121"/>
      <c r="F17" s="122"/>
      <c r="G17" s="123"/>
      <c r="H17" s="124"/>
    </row>
    <row r="18" spans="1:8" x14ac:dyDescent="0.25">
      <c r="A18" s="111"/>
      <c r="B18" s="119"/>
      <c r="C18" s="120"/>
      <c r="D18" s="120"/>
      <c r="E18" s="121"/>
      <c r="F18" s="122"/>
      <c r="G18" s="123"/>
      <c r="H18" s="124"/>
    </row>
    <row r="19" spans="1:8" x14ac:dyDescent="0.25">
      <c r="A19" s="111"/>
      <c r="B19" s="119"/>
      <c r="C19" s="120"/>
      <c r="D19" s="120"/>
      <c r="E19" s="121"/>
      <c r="F19" s="122"/>
      <c r="G19" s="123"/>
      <c r="H19" s="124"/>
    </row>
    <row r="20" spans="1:8" x14ac:dyDescent="0.25">
      <c r="A20" s="125"/>
      <c r="B20" s="125"/>
      <c r="C20" s="125"/>
      <c r="D20" s="125"/>
      <c r="E20" s="125"/>
      <c r="F20" s="125"/>
      <c r="G20" s="125"/>
      <c r="H20" s="125"/>
    </row>
  </sheetData>
  <pageMargins left="0.7" right="0.7" top="1" bottom="0.75" header="0.3" footer="0.3"/>
  <pageSetup paperSize="5" scale="82" orientation="landscape" r:id="rId1"/>
  <headerFooter>
    <oddHeader>&amp;CWINDSOR CROSSING LONG TERM CAPITAL IMPROVEMENT AND MAINTENANCE PLAN (2016-2019)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>
      <selection activeCell="C18" sqref="C18"/>
    </sheetView>
  </sheetViews>
  <sheetFormatPr defaultRowHeight="15" x14ac:dyDescent="0.25"/>
  <cols>
    <col min="1" max="1" width="9.7109375" bestFit="1" customWidth="1"/>
    <col min="2" max="2" width="35.85546875" bestFit="1" customWidth="1"/>
    <col min="3" max="3" width="14.42578125" bestFit="1" customWidth="1"/>
    <col min="4" max="4" width="12.5703125" bestFit="1" customWidth="1"/>
    <col min="5" max="5" width="11.5703125" bestFit="1" customWidth="1"/>
    <col min="6" max="6" width="12" bestFit="1" customWidth="1"/>
  </cols>
  <sheetData>
    <row r="1" spans="1:10" ht="15.75" customHeight="1" x14ac:dyDescent="0.25">
      <c r="A1" s="177" t="s">
        <v>375</v>
      </c>
      <c r="B1" s="177"/>
      <c r="C1" s="177"/>
      <c r="D1" s="177"/>
      <c r="E1" s="177"/>
      <c r="F1" s="177"/>
    </row>
    <row r="2" spans="1:10" ht="15.75" customHeight="1" x14ac:dyDescent="0.25">
      <c r="A2" s="177"/>
      <c r="B2" s="177"/>
      <c r="C2" s="177"/>
      <c r="D2" s="177"/>
      <c r="E2" s="177"/>
      <c r="F2" s="177"/>
    </row>
    <row r="3" spans="1:10" x14ac:dyDescent="0.25">
      <c r="A3" t="s">
        <v>473</v>
      </c>
      <c r="B3" t="s">
        <v>471</v>
      </c>
      <c r="C3" t="s">
        <v>495</v>
      </c>
      <c r="D3" t="s">
        <v>472</v>
      </c>
      <c r="E3" t="s">
        <v>470</v>
      </c>
      <c r="F3" t="s">
        <v>469</v>
      </c>
    </row>
    <row r="4" spans="1:10" x14ac:dyDescent="0.25">
      <c r="A4" s="131" t="s">
        <v>157</v>
      </c>
      <c r="B4" s="128" t="s">
        <v>482</v>
      </c>
      <c r="C4" s="165"/>
      <c r="D4" s="164">
        <v>0.01</v>
      </c>
      <c r="E4" s="106">
        <f>$E$8*D4</f>
        <v>-960</v>
      </c>
      <c r="F4" s="106">
        <f>D4*$F$8</f>
        <v>-80</v>
      </c>
      <c r="I4" s="131"/>
      <c r="J4" s="5"/>
    </row>
    <row r="5" spans="1:10" x14ac:dyDescent="0.25">
      <c r="A5" s="131" t="s">
        <v>491</v>
      </c>
      <c r="B5" s="130" t="s">
        <v>492</v>
      </c>
      <c r="C5" s="165"/>
      <c r="D5" s="163">
        <v>0.245</v>
      </c>
      <c r="E5" s="106">
        <f>$E$8*D5</f>
        <v>-23520</v>
      </c>
      <c r="F5" s="106">
        <f>D5*$F$8</f>
        <v>-1960</v>
      </c>
      <c r="I5" s="131"/>
      <c r="J5" s="5"/>
    </row>
    <row r="6" spans="1:10" x14ac:dyDescent="0.25">
      <c r="A6" s="131" t="s">
        <v>493</v>
      </c>
      <c r="B6" s="128" t="s">
        <v>494</v>
      </c>
      <c r="C6" s="165"/>
      <c r="D6" s="163">
        <v>0.245</v>
      </c>
      <c r="E6" s="106">
        <f>$E$8*D6</f>
        <v>-23520</v>
      </c>
      <c r="F6" s="106">
        <f>D6*$F$8</f>
        <v>-1960</v>
      </c>
      <c r="I6" s="131"/>
      <c r="J6" s="5"/>
    </row>
    <row r="7" spans="1:10" x14ac:dyDescent="0.25">
      <c r="A7" s="195" t="s">
        <v>516</v>
      </c>
      <c r="B7" s="128" t="s">
        <v>517</v>
      </c>
      <c r="C7" s="165"/>
      <c r="D7" s="163">
        <v>0.5</v>
      </c>
      <c r="E7" s="106">
        <f>$E$8*D7</f>
        <v>-48000</v>
      </c>
      <c r="F7" s="106">
        <f>D7*$F$8</f>
        <v>-4000</v>
      </c>
      <c r="I7" s="131"/>
      <c r="J7" s="5"/>
    </row>
    <row r="8" spans="1:10" x14ac:dyDescent="0.25">
      <c r="B8" s="127" t="s">
        <v>468</v>
      </c>
      <c r="C8" s="166"/>
      <c r="D8" s="170">
        <f>SUM(D4:D7)</f>
        <v>1</v>
      </c>
      <c r="E8" s="126">
        <f>F8*12</f>
        <v>-96000</v>
      </c>
      <c r="F8" s="126">
        <v>-8000</v>
      </c>
      <c r="G8" t="s">
        <v>483</v>
      </c>
    </row>
    <row r="11" spans="1:10" x14ac:dyDescent="0.25">
      <c r="B11" t="s">
        <v>467</v>
      </c>
      <c r="C11" s="106"/>
    </row>
    <row r="16" spans="1:10" x14ac:dyDescent="0.25">
      <c r="A16" s="195"/>
      <c r="B16" s="196"/>
    </row>
    <row r="23" spans="3:3" x14ac:dyDescent="0.25">
      <c r="C23" s="106"/>
    </row>
    <row r="24" spans="3:3" x14ac:dyDescent="0.25">
      <c r="C24" s="106"/>
    </row>
    <row r="25" spans="3:3" x14ac:dyDescent="0.25">
      <c r="C25" s="106"/>
    </row>
    <row r="26" spans="3:3" x14ac:dyDescent="0.25">
      <c r="C26" s="106"/>
    </row>
  </sheetData>
  <mergeCells count="1">
    <mergeCell ref="A1:F2"/>
  </mergeCells>
  <pageMargins left="0.7" right="0.7" top="0.75" bottom="0.75" header="0.3" footer="0.3"/>
  <pageSetup scale="94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cf</vt:lpstr>
      <vt:lpstr>Op Budget 2016</vt:lpstr>
      <vt:lpstr>2017 Projected</vt:lpstr>
      <vt:lpstr>Min Rent 2017</vt:lpstr>
      <vt:lpstr>CAM est 2017</vt:lpstr>
      <vt:lpstr>RETaxes 2017</vt:lpstr>
      <vt:lpstr>Ins 2016</vt:lpstr>
      <vt:lpstr>CapEx 2016</vt:lpstr>
      <vt:lpstr>Distributions</vt:lpstr>
      <vt:lpstr>Assumptions</vt:lpstr>
      <vt:lpstr>Broker's Comm</vt:lpstr>
      <vt:lpstr>'2017 Projected'!Print_Area</vt:lpstr>
      <vt:lpstr>Distributions!Print_Area</vt:lpstr>
      <vt:lpstr>'2017 Projected'!Print_Titles</vt:lpstr>
      <vt:lpstr>cf!Print_Titles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cp:lastPrinted>2016-10-25T17:51:07Z</cp:lastPrinted>
  <dcterms:created xsi:type="dcterms:W3CDTF">2016-04-01T21:07:40Z</dcterms:created>
  <dcterms:modified xsi:type="dcterms:W3CDTF">2016-10-25T21:30:12Z</dcterms:modified>
</cp:coreProperties>
</file>