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8775" windowHeight="0" activeTab="2"/>
  </bookViews>
  <sheets>
    <sheet name="2019" sheetId="19" r:id="rId1"/>
    <sheet name="2018" sheetId="18" r:id="rId2"/>
    <sheet name="factors" sheetId="17" r:id="rId3"/>
    <sheet name="scenarios" sheetId="16" r:id="rId4"/>
    <sheet name="python_verbrauch" sheetId="7" r:id="rId5"/>
    <sheet name="python_bedarf" sheetId="10" r:id="rId6"/>
    <sheet name="Sankey2050 (PJ)" sheetId="20" r:id="rId7"/>
    <sheet name="Sankey2050 (GWh original)" sheetId="11" r:id="rId8"/>
    <sheet name="TabelleEE" sheetId="8" r:id="rId9"/>
    <sheet name="KO_EEneu4neu" sheetId="9" r:id="rId10"/>
    <sheet name="Endenergie" sheetId="12" r:id="rId11"/>
    <sheet name="EE2018" sheetId="13" r:id="rId12"/>
    <sheet name="Kontrolle" sheetId="14" r:id="rId13"/>
    <sheet name="zentral_lokal" sheetId="15" r:id="rId14"/>
  </sheets>
  <externalReferences>
    <externalReference r:id="rId15"/>
    <externalReference r:id="rId16"/>
    <externalReference r:id="rId17"/>
  </externalReferences>
  <calcPr calcId="162913"/>
</workbook>
</file>

<file path=xl/calcChain.xml><?xml version="1.0" encoding="utf-8"?>
<calcChain xmlns="http://schemas.openxmlformats.org/spreadsheetml/2006/main">
  <c r="K4" i="16" l="1"/>
  <c r="K5" i="16"/>
  <c r="K6" i="16"/>
  <c r="K7" i="16"/>
  <c r="K8" i="16"/>
  <c r="K9" i="16"/>
  <c r="K10" i="16"/>
  <c r="K11" i="16"/>
  <c r="K12" i="16"/>
  <c r="K13" i="16"/>
  <c r="J5" i="16"/>
  <c r="J4" i="16"/>
  <c r="K15" i="16"/>
  <c r="O15" i="16"/>
  <c r="N15" i="16"/>
  <c r="K14" i="16"/>
  <c r="L6" i="16"/>
  <c r="P15" i="16" l="1"/>
  <c r="N5" i="16"/>
  <c r="O5" i="16" s="1"/>
  <c r="P5" i="16" s="1"/>
  <c r="N4" i="16"/>
  <c r="O4" i="16" s="1"/>
  <c r="P4" i="16" s="1"/>
  <c r="D5" i="16"/>
  <c r="D4" i="16"/>
  <c r="F14" i="16"/>
  <c r="C14" i="16"/>
  <c r="D14" i="16" s="1"/>
  <c r="F15" i="16"/>
  <c r="C15" i="16"/>
  <c r="G15" i="20"/>
  <c r="F24" i="11"/>
  <c r="F24" i="20"/>
  <c r="G15" i="16"/>
  <c r="M15" i="16" s="1"/>
  <c r="G14" i="16"/>
  <c r="H10" i="17" s="1"/>
  <c r="H15" i="16"/>
  <c r="H14" i="16"/>
  <c r="I14" i="16"/>
  <c r="I15" i="16"/>
  <c r="C41" i="11"/>
  <c r="A2" i="20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A3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A4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A5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A6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A7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A8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A9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A10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A15" i="20"/>
  <c r="B15" i="20"/>
  <c r="C15" i="20"/>
  <c r="D15" i="20"/>
  <c r="E15" i="20"/>
  <c r="F15" i="20"/>
  <c r="H15" i="20"/>
  <c r="I15" i="20"/>
  <c r="J15" i="20"/>
  <c r="K15" i="20"/>
  <c r="L15" i="20"/>
  <c r="M15" i="20"/>
  <c r="N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A24" i="20"/>
  <c r="B24" i="20"/>
  <c r="C24" i="20"/>
  <c r="D24" i="20"/>
  <c r="E24" i="20"/>
  <c r="G24" i="20"/>
  <c r="H24" i="20"/>
  <c r="I24" i="20"/>
  <c r="J24" i="20"/>
  <c r="K24" i="20"/>
  <c r="L24" i="20"/>
  <c r="M24" i="20"/>
  <c r="N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A33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A34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A35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A36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A37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A38" i="20"/>
  <c r="M38" i="20"/>
  <c r="N38" i="20"/>
  <c r="A39" i="20"/>
  <c r="M39" i="20"/>
  <c r="N39" i="20"/>
  <c r="A40" i="20"/>
  <c r="B40" i="20"/>
  <c r="C40" i="20"/>
  <c r="E40" i="20"/>
  <c r="F40" i="20"/>
  <c r="G40" i="20"/>
  <c r="H40" i="20"/>
  <c r="I40" i="20"/>
  <c r="J40" i="20"/>
  <c r="K40" i="20"/>
  <c r="L40" i="20"/>
  <c r="M40" i="20"/>
  <c r="N40" i="20"/>
  <c r="A41" i="20"/>
  <c r="B41" i="20"/>
  <c r="C41" i="20"/>
  <c r="E41" i="20"/>
  <c r="F41" i="20"/>
  <c r="G41" i="20"/>
  <c r="H41" i="20"/>
  <c r="I41" i="20"/>
  <c r="J41" i="20"/>
  <c r="K41" i="20"/>
  <c r="L41" i="20"/>
  <c r="M41" i="20"/>
  <c r="N41" i="20"/>
  <c r="A42" i="20"/>
  <c r="B42" i="20"/>
  <c r="C42" i="20"/>
  <c r="E42" i="20"/>
  <c r="F42" i="20"/>
  <c r="G42" i="20"/>
  <c r="H42" i="20"/>
  <c r="I42" i="20"/>
  <c r="J42" i="20"/>
  <c r="K42" i="20"/>
  <c r="L42" i="20"/>
  <c r="M42" i="20"/>
  <c r="N42" i="20"/>
  <c r="A43" i="20"/>
  <c r="B43" i="20"/>
  <c r="C43" i="20"/>
  <c r="E43" i="20"/>
  <c r="F43" i="20"/>
  <c r="G43" i="20"/>
  <c r="H43" i="20"/>
  <c r="I43" i="20"/>
  <c r="J43" i="20"/>
  <c r="K43" i="20"/>
  <c r="L43" i="20"/>
  <c r="M43" i="20"/>
  <c r="N43" i="20"/>
  <c r="A44" i="20"/>
  <c r="B44" i="20"/>
  <c r="C44" i="20"/>
  <c r="E44" i="20"/>
  <c r="F44" i="20"/>
  <c r="G44" i="20"/>
  <c r="H44" i="20"/>
  <c r="I44" i="20"/>
  <c r="J44" i="20"/>
  <c r="K44" i="20"/>
  <c r="L44" i="20"/>
  <c r="M44" i="20"/>
  <c r="N44" i="20"/>
  <c r="A45" i="20"/>
  <c r="B45" i="20"/>
  <c r="C45" i="20"/>
  <c r="E45" i="20"/>
  <c r="F45" i="20"/>
  <c r="G45" i="20"/>
  <c r="H45" i="20"/>
  <c r="I45" i="20"/>
  <c r="J45" i="20"/>
  <c r="K45" i="20"/>
  <c r="L45" i="20"/>
  <c r="M45" i="20"/>
  <c r="N45" i="20"/>
  <c r="A46" i="20"/>
  <c r="B46" i="20"/>
  <c r="C46" i="20"/>
  <c r="E46" i="20"/>
  <c r="F46" i="20"/>
  <c r="G46" i="20"/>
  <c r="H46" i="20"/>
  <c r="I46" i="20"/>
  <c r="J46" i="20"/>
  <c r="K46" i="20"/>
  <c r="L46" i="20"/>
  <c r="M46" i="20"/>
  <c r="N46" i="20"/>
  <c r="A47" i="20"/>
  <c r="B47" i="20"/>
  <c r="C47" i="20"/>
  <c r="E47" i="20"/>
  <c r="F47" i="20"/>
  <c r="G47" i="20"/>
  <c r="H47" i="20"/>
  <c r="I47" i="20"/>
  <c r="J47" i="20"/>
  <c r="K47" i="20"/>
  <c r="L47" i="20"/>
  <c r="M47" i="20"/>
  <c r="N47" i="20"/>
  <c r="A48" i="20"/>
  <c r="B48" i="20"/>
  <c r="C48" i="20"/>
  <c r="E48" i="20"/>
  <c r="F48" i="20"/>
  <c r="G48" i="20"/>
  <c r="H48" i="20"/>
  <c r="I48" i="20"/>
  <c r="J48" i="20"/>
  <c r="K48" i="20"/>
  <c r="L48" i="20"/>
  <c r="M48" i="20"/>
  <c r="N48" i="20"/>
  <c r="A49" i="20"/>
  <c r="B49" i="20"/>
  <c r="C49" i="20"/>
  <c r="E49" i="20"/>
  <c r="F49" i="20"/>
  <c r="G49" i="20"/>
  <c r="H49" i="20"/>
  <c r="I49" i="20"/>
  <c r="J49" i="20"/>
  <c r="K49" i="20"/>
  <c r="L49" i="20"/>
  <c r="M49" i="20"/>
  <c r="N49" i="20"/>
  <c r="A50" i="20"/>
  <c r="B50" i="20"/>
  <c r="C50" i="20"/>
  <c r="E50" i="20"/>
  <c r="F50" i="20"/>
  <c r="G50" i="20"/>
  <c r="H50" i="20"/>
  <c r="I50" i="20"/>
  <c r="J50" i="20"/>
  <c r="K50" i="20"/>
  <c r="L50" i="20"/>
  <c r="M50" i="20"/>
  <c r="N50" i="20"/>
  <c r="A51" i="20"/>
  <c r="B51" i="20"/>
  <c r="C51" i="20"/>
  <c r="E51" i="20"/>
  <c r="F51" i="20"/>
  <c r="G51" i="20"/>
  <c r="H51" i="20"/>
  <c r="I51" i="20"/>
  <c r="J51" i="20"/>
  <c r="K51" i="20"/>
  <c r="L51" i="20"/>
  <c r="M51" i="20"/>
  <c r="N51" i="20"/>
  <c r="A52" i="20"/>
  <c r="B52" i="20"/>
  <c r="C52" i="20"/>
  <c r="E52" i="20"/>
  <c r="F52" i="20"/>
  <c r="G52" i="20"/>
  <c r="H52" i="20"/>
  <c r="I52" i="20"/>
  <c r="J52" i="20"/>
  <c r="K52" i="20"/>
  <c r="L52" i="20"/>
  <c r="M52" i="20"/>
  <c r="N52" i="20"/>
  <c r="A53" i="20"/>
  <c r="B53" i="20"/>
  <c r="C53" i="20"/>
  <c r="E53" i="20"/>
  <c r="F53" i="20"/>
  <c r="G53" i="20"/>
  <c r="H53" i="20"/>
  <c r="I53" i="20"/>
  <c r="J53" i="20"/>
  <c r="K53" i="20"/>
  <c r="L53" i="20"/>
  <c r="M53" i="20"/>
  <c r="N53" i="20"/>
  <c r="A54" i="20"/>
  <c r="B54" i="20"/>
  <c r="C54" i="20"/>
  <c r="E54" i="20"/>
  <c r="F54" i="20"/>
  <c r="G54" i="20"/>
  <c r="H54" i="20"/>
  <c r="I54" i="20"/>
  <c r="J54" i="20"/>
  <c r="K54" i="20"/>
  <c r="L54" i="20"/>
  <c r="M54" i="20"/>
  <c r="N54" i="20"/>
  <c r="A55" i="20"/>
  <c r="B55" i="20"/>
  <c r="C55" i="20"/>
  <c r="E55" i="20"/>
  <c r="F55" i="20"/>
  <c r="G55" i="20"/>
  <c r="H55" i="20"/>
  <c r="I55" i="20"/>
  <c r="J55" i="20"/>
  <c r="K55" i="20"/>
  <c r="L55" i="20"/>
  <c r="M55" i="20"/>
  <c r="N55" i="20"/>
  <c r="A56" i="20"/>
  <c r="B56" i="20"/>
  <c r="C56" i="20"/>
  <c r="E56" i="20"/>
  <c r="F56" i="20"/>
  <c r="G56" i="20"/>
  <c r="H56" i="20"/>
  <c r="I56" i="20"/>
  <c r="J56" i="20"/>
  <c r="K56" i="20"/>
  <c r="L56" i="20"/>
  <c r="M56" i="20"/>
  <c r="N56" i="20"/>
  <c r="A57" i="20"/>
  <c r="B57" i="20"/>
  <c r="C57" i="20"/>
  <c r="E57" i="20"/>
  <c r="F57" i="20"/>
  <c r="G57" i="20"/>
  <c r="H57" i="20"/>
  <c r="I57" i="20"/>
  <c r="J57" i="20"/>
  <c r="K57" i="20"/>
  <c r="L57" i="20"/>
  <c r="M57" i="20"/>
  <c r="N57" i="20"/>
  <c r="A58" i="20"/>
  <c r="B58" i="20"/>
  <c r="C58" i="20"/>
  <c r="E58" i="20"/>
  <c r="F58" i="20"/>
  <c r="G58" i="20"/>
  <c r="H58" i="20"/>
  <c r="I58" i="20"/>
  <c r="J58" i="20"/>
  <c r="K58" i="20"/>
  <c r="L58" i="20"/>
  <c r="M58" i="20"/>
  <c r="N58" i="20"/>
  <c r="A59" i="20"/>
  <c r="B59" i="20"/>
  <c r="C59" i="20"/>
  <c r="E59" i="20"/>
  <c r="F59" i="20"/>
  <c r="G59" i="20"/>
  <c r="H59" i="20"/>
  <c r="I59" i="20"/>
  <c r="J59" i="20"/>
  <c r="K59" i="20"/>
  <c r="L59" i="20"/>
  <c r="M59" i="20"/>
  <c r="N59" i="20"/>
  <c r="A60" i="20"/>
  <c r="B60" i="20"/>
  <c r="C60" i="20"/>
  <c r="E60" i="20"/>
  <c r="F60" i="20"/>
  <c r="G60" i="20"/>
  <c r="H60" i="20"/>
  <c r="I60" i="20"/>
  <c r="J60" i="20"/>
  <c r="K60" i="20"/>
  <c r="L60" i="20"/>
  <c r="M60" i="20"/>
  <c r="N60" i="20"/>
  <c r="A61" i="20"/>
  <c r="B61" i="20"/>
  <c r="C61" i="20"/>
  <c r="E61" i="20"/>
  <c r="F61" i="20"/>
  <c r="G61" i="20"/>
  <c r="H61" i="20"/>
  <c r="I61" i="20"/>
  <c r="J61" i="20"/>
  <c r="K61" i="20"/>
  <c r="L61" i="20"/>
  <c r="M61" i="20"/>
  <c r="N61" i="20"/>
  <c r="A62" i="20"/>
  <c r="B62" i="20"/>
  <c r="C62" i="20"/>
  <c r="E62" i="20"/>
  <c r="F62" i="20"/>
  <c r="G62" i="20"/>
  <c r="H62" i="20"/>
  <c r="I62" i="20"/>
  <c r="J62" i="20"/>
  <c r="K62" i="20"/>
  <c r="L62" i="20"/>
  <c r="M62" i="20"/>
  <c r="N62" i="20"/>
  <c r="A63" i="20"/>
  <c r="B63" i="20"/>
  <c r="C63" i="20"/>
  <c r="E63" i="20"/>
  <c r="F63" i="20"/>
  <c r="G63" i="20"/>
  <c r="H63" i="20"/>
  <c r="I63" i="20"/>
  <c r="J63" i="20"/>
  <c r="K63" i="20"/>
  <c r="L63" i="20"/>
  <c r="M63" i="20"/>
  <c r="N63" i="20"/>
  <c r="A64" i="20"/>
  <c r="B64" i="20"/>
  <c r="C64" i="20"/>
  <c r="E64" i="20"/>
  <c r="F64" i="20"/>
  <c r="G64" i="20"/>
  <c r="H64" i="20"/>
  <c r="I64" i="20"/>
  <c r="J64" i="20"/>
  <c r="K64" i="20"/>
  <c r="L64" i="20"/>
  <c r="M64" i="20"/>
  <c r="N64" i="20"/>
  <c r="A65" i="20"/>
  <c r="B65" i="20"/>
  <c r="C65" i="20"/>
  <c r="E65" i="20"/>
  <c r="F65" i="20"/>
  <c r="G65" i="20"/>
  <c r="H65" i="20"/>
  <c r="I65" i="20"/>
  <c r="J65" i="20"/>
  <c r="K65" i="20"/>
  <c r="L65" i="20"/>
  <c r="M65" i="20"/>
  <c r="N65" i="20"/>
  <c r="A66" i="20"/>
  <c r="B66" i="20"/>
  <c r="C66" i="20"/>
  <c r="E66" i="20"/>
  <c r="F66" i="20"/>
  <c r="G66" i="20"/>
  <c r="H66" i="20"/>
  <c r="I66" i="20"/>
  <c r="J66" i="20"/>
  <c r="K66" i="20"/>
  <c r="L66" i="20"/>
  <c r="M66" i="20"/>
  <c r="N66" i="20"/>
  <c r="A67" i="20"/>
  <c r="B67" i="20"/>
  <c r="C67" i="20"/>
  <c r="E67" i="20"/>
  <c r="F67" i="20"/>
  <c r="G67" i="20"/>
  <c r="H67" i="20"/>
  <c r="I67" i="20"/>
  <c r="J67" i="20"/>
  <c r="K67" i="20"/>
  <c r="L67" i="20"/>
  <c r="M67" i="20"/>
  <c r="N67" i="20"/>
  <c r="A68" i="20"/>
  <c r="B68" i="20"/>
  <c r="C68" i="20"/>
  <c r="E68" i="20"/>
  <c r="F68" i="20"/>
  <c r="G68" i="20"/>
  <c r="H68" i="20"/>
  <c r="I68" i="20"/>
  <c r="J68" i="20"/>
  <c r="K68" i="20"/>
  <c r="L68" i="20"/>
  <c r="M68" i="20"/>
  <c r="N68" i="20"/>
  <c r="A69" i="20"/>
  <c r="B69" i="20"/>
  <c r="C69" i="20"/>
  <c r="E69" i="20"/>
  <c r="F69" i="20"/>
  <c r="G69" i="20"/>
  <c r="H69" i="20"/>
  <c r="I69" i="20"/>
  <c r="J69" i="20"/>
  <c r="K69" i="20"/>
  <c r="L69" i="20"/>
  <c r="M69" i="20"/>
  <c r="N69" i="20"/>
  <c r="A70" i="20"/>
  <c r="B70" i="20"/>
  <c r="C70" i="20"/>
  <c r="E70" i="20"/>
  <c r="F70" i="20"/>
  <c r="G70" i="20"/>
  <c r="H70" i="20"/>
  <c r="I70" i="20"/>
  <c r="J70" i="20"/>
  <c r="K70" i="20"/>
  <c r="L70" i="20"/>
  <c r="M70" i="20"/>
  <c r="N70" i="20"/>
  <c r="A71" i="20"/>
  <c r="B71" i="20"/>
  <c r="C71" i="20"/>
  <c r="E71" i="20"/>
  <c r="F71" i="20"/>
  <c r="G71" i="20"/>
  <c r="H71" i="20"/>
  <c r="I71" i="20"/>
  <c r="J71" i="20"/>
  <c r="K71" i="20"/>
  <c r="L71" i="20"/>
  <c r="M71" i="20"/>
  <c r="N71" i="20"/>
  <c r="A72" i="20"/>
  <c r="B72" i="20"/>
  <c r="C72" i="20"/>
  <c r="E72" i="20"/>
  <c r="F72" i="20"/>
  <c r="G72" i="20"/>
  <c r="H72" i="20"/>
  <c r="I72" i="20"/>
  <c r="J72" i="20"/>
  <c r="K72" i="20"/>
  <c r="L72" i="20"/>
  <c r="M72" i="20"/>
  <c r="N72" i="20"/>
  <c r="A73" i="20"/>
  <c r="B73" i="20"/>
  <c r="C73" i="20"/>
  <c r="E73" i="20"/>
  <c r="F73" i="20"/>
  <c r="G73" i="20"/>
  <c r="H73" i="20"/>
  <c r="I73" i="20"/>
  <c r="J73" i="20"/>
  <c r="K73" i="20"/>
  <c r="L73" i="20"/>
  <c r="M73" i="20"/>
  <c r="N73" i="20"/>
  <c r="A74" i="20"/>
  <c r="B74" i="20"/>
  <c r="C74" i="20"/>
  <c r="E74" i="20"/>
  <c r="F74" i="20"/>
  <c r="G74" i="20"/>
  <c r="H74" i="20"/>
  <c r="I74" i="20"/>
  <c r="J74" i="20"/>
  <c r="K74" i="20"/>
  <c r="L74" i="20"/>
  <c r="M74" i="20"/>
  <c r="N74" i="20"/>
  <c r="A75" i="20"/>
  <c r="B75" i="20"/>
  <c r="C75" i="20"/>
  <c r="E75" i="20"/>
  <c r="F75" i="20"/>
  <c r="G75" i="20"/>
  <c r="H75" i="20"/>
  <c r="I75" i="20"/>
  <c r="J75" i="20"/>
  <c r="K75" i="20"/>
  <c r="L75" i="20"/>
  <c r="M75" i="20"/>
  <c r="N75" i="20"/>
  <c r="A76" i="20"/>
  <c r="B76" i="20"/>
  <c r="C76" i="20"/>
  <c r="E76" i="20"/>
  <c r="F76" i="20"/>
  <c r="G76" i="20"/>
  <c r="H76" i="20"/>
  <c r="I76" i="20"/>
  <c r="J76" i="20"/>
  <c r="K76" i="20"/>
  <c r="L76" i="20"/>
  <c r="M76" i="20"/>
  <c r="N76" i="20"/>
  <c r="A77" i="20"/>
  <c r="B77" i="20"/>
  <c r="C77" i="20"/>
  <c r="E77" i="20"/>
  <c r="F77" i="20"/>
  <c r="G77" i="20"/>
  <c r="H77" i="20"/>
  <c r="I77" i="20"/>
  <c r="J77" i="20"/>
  <c r="K77" i="20"/>
  <c r="L77" i="20"/>
  <c r="M77" i="20"/>
  <c r="N77" i="20"/>
  <c r="A78" i="20"/>
  <c r="B78" i="20"/>
  <c r="C78" i="20"/>
  <c r="E78" i="20"/>
  <c r="F78" i="20"/>
  <c r="G78" i="20"/>
  <c r="H78" i="20"/>
  <c r="I78" i="20"/>
  <c r="J78" i="20"/>
  <c r="K78" i="20"/>
  <c r="L78" i="20"/>
  <c r="M78" i="20"/>
  <c r="N78" i="20"/>
  <c r="A79" i="20"/>
  <c r="B79" i="20"/>
  <c r="C79" i="20"/>
  <c r="E79" i="20"/>
  <c r="F79" i="20"/>
  <c r="G79" i="20"/>
  <c r="H79" i="20"/>
  <c r="I79" i="20"/>
  <c r="J79" i="20"/>
  <c r="K79" i="20"/>
  <c r="L79" i="20"/>
  <c r="M79" i="20"/>
  <c r="N79" i="20"/>
  <c r="A80" i="20"/>
  <c r="B80" i="20"/>
  <c r="C80" i="20"/>
  <c r="E80" i="20"/>
  <c r="F80" i="20"/>
  <c r="G80" i="20"/>
  <c r="H80" i="20"/>
  <c r="I80" i="20"/>
  <c r="J80" i="20"/>
  <c r="K80" i="20"/>
  <c r="L80" i="20"/>
  <c r="M80" i="20"/>
  <c r="N80" i="20"/>
  <c r="A81" i="20"/>
  <c r="B81" i="20"/>
  <c r="C81" i="20"/>
  <c r="E81" i="20"/>
  <c r="F81" i="20"/>
  <c r="G81" i="20"/>
  <c r="H81" i="20"/>
  <c r="I81" i="20"/>
  <c r="J81" i="20"/>
  <c r="K81" i="20"/>
  <c r="L81" i="20"/>
  <c r="M81" i="20"/>
  <c r="N81" i="20"/>
  <c r="A82" i="20"/>
  <c r="B82" i="20"/>
  <c r="C82" i="20"/>
  <c r="E82" i="20"/>
  <c r="F82" i="20"/>
  <c r="G82" i="20"/>
  <c r="H82" i="20"/>
  <c r="I82" i="20"/>
  <c r="J82" i="20"/>
  <c r="K82" i="20"/>
  <c r="L82" i="20"/>
  <c r="M82" i="20"/>
  <c r="N82" i="20"/>
  <c r="A83" i="20"/>
  <c r="B83" i="20"/>
  <c r="C83" i="20"/>
  <c r="E83" i="20"/>
  <c r="F83" i="20"/>
  <c r="G83" i="20"/>
  <c r="H83" i="20"/>
  <c r="I83" i="20"/>
  <c r="J83" i="20"/>
  <c r="K83" i="20"/>
  <c r="L83" i="20"/>
  <c r="M83" i="20"/>
  <c r="N83" i="20"/>
  <c r="A84" i="20"/>
  <c r="B84" i="20"/>
  <c r="C84" i="20"/>
  <c r="E84" i="20"/>
  <c r="F84" i="20"/>
  <c r="G84" i="20"/>
  <c r="H84" i="20"/>
  <c r="I84" i="20"/>
  <c r="J84" i="20"/>
  <c r="K84" i="20"/>
  <c r="L84" i="20"/>
  <c r="M84" i="20"/>
  <c r="N84" i="20"/>
  <c r="A85" i="20"/>
  <c r="B85" i="20"/>
  <c r="C85" i="20"/>
  <c r="E85" i="20"/>
  <c r="F85" i="20"/>
  <c r="G85" i="20"/>
  <c r="H85" i="20"/>
  <c r="I85" i="20"/>
  <c r="J85" i="20"/>
  <c r="K85" i="20"/>
  <c r="L85" i="20"/>
  <c r="M85" i="20"/>
  <c r="N85" i="20"/>
  <c r="A86" i="20"/>
  <c r="B86" i="20"/>
  <c r="C86" i="20"/>
  <c r="E86" i="20"/>
  <c r="F86" i="20"/>
  <c r="G86" i="20"/>
  <c r="H86" i="20"/>
  <c r="I86" i="20"/>
  <c r="J86" i="20"/>
  <c r="K86" i="20"/>
  <c r="L86" i="20"/>
  <c r="M86" i="20"/>
  <c r="N86" i="20"/>
  <c r="A87" i="20"/>
  <c r="B87" i="20"/>
  <c r="C87" i="20"/>
  <c r="E87" i="20"/>
  <c r="F87" i="20"/>
  <c r="G87" i="20"/>
  <c r="H87" i="20"/>
  <c r="I87" i="20"/>
  <c r="J87" i="20"/>
  <c r="K87" i="20"/>
  <c r="L87" i="20"/>
  <c r="M87" i="20"/>
  <c r="N87" i="20"/>
  <c r="A88" i="20"/>
  <c r="B88" i="20"/>
  <c r="C88" i="20"/>
  <c r="E88" i="20"/>
  <c r="F88" i="20"/>
  <c r="G88" i="20"/>
  <c r="H88" i="20"/>
  <c r="I88" i="20"/>
  <c r="J88" i="20"/>
  <c r="K88" i="20"/>
  <c r="L88" i="20"/>
  <c r="M88" i="20"/>
  <c r="N88" i="20"/>
  <c r="A89" i="20"/>
  <c r="B89" i="20"/>
  <c r="C89" i="20"/>
  <c r="E89" i="20"/>
  <c r="F89" i="20"/>
  <c r="G89" i="20"/>
  <c r="H89" i="20"/>
  <c r="I89" i="20"/>
  <c r="J89" i="20"/>
  <c r="K89" i="20"/>
  <c r="L89" i="20"/>
  <c r="M89" i="20"/>
  <c r="N89" i="20"/>
  <c r="A90" i="20"/>
  <c r="B90" i="20"/>
  <c r="C90" i="20"/>
  <c r="E90" i="20"/>
  <c r="F90" i="20"/>
  <c r="G90" i="20"/>
  <c r="H90" i="20"/>
  <c r="I90" i="20"/>
  <c r="J90" i="20"/>
  <c r="K90" i="20"/>
  <c r="L90" i="20"/>
  <c r="M90" i="20"/>
  <c r="N90" i="20"/>
  <c r="A91" i="20"/>
  <c r="B91" i="20"/>
  <c r="C91" i="20"/>
  <c r="E91" i="20"/>
  <c r="F91" i="20"/>
  <c r="G91" i="20"/>
  <c r="H91" i="20"/>
  <c r="I91" i="20"/>
  <c r="J91" i="20"/>
  <c r="K91" i="20"/>
  <c r="L91" i="20"/>
  <c r="M91" i="20"/>
  <c r="N91" i="20"/>
  <c r="A92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A93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A94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A95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A96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A97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A98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A99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A100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A101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A102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A103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A104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A105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A106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A107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A108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A109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A110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A111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A112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A113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A114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A115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A116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A117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A118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A119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A120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A121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A122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A123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A124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A125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A126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A127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E1" i="20"/>
  <c r="F1" i="20"/>
  <c r="G1" i="20"/>
  <c r="H1" i="20"/>
  <c r="I1" i="20"/>
  <c r="J1" i="20"/>
  <c r="K1" i="20"/>
  <c r="L1" i="20"/>
  <c r="M1" i="20"/>
  <c r="N1" i="20"/>
  <c r="B1" i="20"/>
  <c r="C1" i="20"/>
  <c r="D1" i="20"/>
  <c r="A1" i="20"/>
  <c r="D37" i="11"/>
  <c r="D15" i="16" l="1"/>
  <c r="L15" i="16"/>
  <c r="B11" i="19"/>
  <c r="F11" i="19"/>
  <c r="B11" i="18"/>
  <c r="F11" i="18"/>
  <c r="B21" i="17"/>
  <c r="F21" i="17"/>
  <c r="F11" i="17"/>
  <c r="H11" i="17"/>
  <c r="I11" i="17"/>
  <c r="J11" i="17"/>
  <c r="B11" i="17"/>
  <c r="H11" i="19"/>
  <c r="I11" i="19"/>
  <c r="J11" i="19"/>
  <c r="J10" i="19"/>
  <c r="I10" i="19"/>
  <c r="H10" i="19"/>
  <c r="F10" i="19"/>
  <c r="B10" i="19"/>
  <c r="J9" i="19"/>
  <c r="I9" i="19"/>
  <c r="H9" i="19"/>
  <c r="G9" i="19"/>
  <c r="F9" i="19"/>
  <c r="B9" i="19"/>
  <c r="J8" i="19"/>
  <c r="I8" i="19"/>
  <c r="H8" i="19"/>
  <c r="G8" i="19"/>
  <c r="F8" i="19"/>
  <c r="B8" i="19"/>
  <c r="J7" i="19"/>
  <c r="I7" i="19"/>
  <c r="H7" i="19"/>
  <c r="G7" i="19"/>
  <c r="F7" i="19"/>
  <c r="B7" i="19"/>
  <c r="J6" i="19"/>
  <c r="I6" i="19"/>
  <c r="H6" i="19"/>
  <c r="F6" i="19"/>
  <c r="B6" i="19"/>
  <c r="J5" i="19"/>
  <c r="I5" i="19"/>
  <c r="H5" i="19"/>
  <c r="G5" i="19"/>
  <c r="F5" i="19"/>
  <c r="B5" i="19"/>
  <c r="J4" i="19"/>
  <c r="I4" i="19"/>
  <c r="H4" i="19"/>
  <c r="G4" i="19"/>
  <c r="F4" i="19"/>
  <c r="B4" i="19"/>
  <c r="J3" i="19"/>
  <c r="I3" i="19"/>
  <c r="H3" i="19"/>
  <c r="G3" i="19"/>
  <c r="F3" i="19"/>
  <c r="B3" i="19"/>
  <c r="J2" i="19"/>
  <c r="I2" i="19"/>
  <c r="H2" i="19"/>
  <c r="G2" i="19"/>
  <c r="F2" i="19"/>
  <c r="B2" i="19"/>
  <c r="J10" i="18"/>
  <c r="I10" i="18"/>
  <c r="H10" i="18"/>
  <c r="F10" i="18"/>
  <c r="B10" i="18"/>
  <c r="J9" i="18"/>
  <c r="I9" i="18"/>
  <c r="H9" i="18"/>
  <c r="G9" i="18"/>
  <c r="F9" i="18"/>
  <c r="B9" i="18"/>
  <c r="J8" i="18"/>
  <c r="I8" i="18"/>
  <c r="H8" i="18"/>
  <c r="G8" i="18"/>
  <c r="F8" i="18"/>
  <c r="B8" i="18"/>
  <c r="J7" i="18"/>
  <c r="I7" i="18"/>
  <c r="H7" i="18"/>
  <c r="G7" i="18"/>
  <c r="F7" i="18"/>
  <c r="B7" i="18"/>
  <c r="J6" i="18"/>
  <c r="I6" i="18"/>
  <c r="H6" i="18"/>
  <c r="F6" i="18"/>
  <c r="B6" i="18"/>
  <c r="J5" i="18"/>
  <c r="I5" i="18"/>
  <c r="H5" i="18"/>
  <c r="G5" i="18"/>
  <c r="F5" i="18"/>
  <c r="B5" i="18"/>
  <c r="J4" i="18"/>
  <c r="I4" i="18"/>
  <c r="H4" i="18"/>
  <c r="G4" i="18"/>
  <c r="F4" i="18"/>
  <c r="B4" i="18"/>
  <c r="J3" i="18"/>
  <c r="I3" i="18"/>
  <c r="H3" i="18"/>
  <c r="G3" i="18"/>
  <c r="F3" i="18"/>
  <c r="B3" i="18"/>
  <c r="J2" i="18"/>
  <c r="I2" i="18"/>
  <c r="H2" i="18"/>
  <c r="G2" i="18"/>
  <c r="F2" i="18"/>
  <c r="B2" i="18"/>
  <c r="B13" i="17"/>
  <c r="B14" i="17"/>
  <c r="B15" i="17"/>
  <c r="B16" i="17"/>
  <c r="B17" i="17"/>
  <c r="B18" i="17"/>
  <c r="B19" i="17"/>
  <c r="B20" i="17"/>
  <c r="B12" i="17"/>
  <c r="B3" i="17"/>
  <c r="B4" i="17"/>
  <c r="B5" i="17"/>
  <c r="B6" i="17"/>
  <c r="B7" i="17"/>
  <c r="B8" i="17"/>
  <c r="B9" i="17"/>
  <c r="B10" i="17"/>
  <c r="B2" i="17"/>
  <c r="J20" i="17"/>
  <c r="I20" i="17"/>
  <c r="H20" i="17"/>
  <c r="F20" i="17"/>
  <c r="J19" i="17"/>
  <c r="I19" i="17"/>
  <c r="H19" i="17"/>
  <c r="G19" i="17"/>
  <c r="F19" i="17"/>
  <c r="J18" i="17"/>
  <c r="I18" i="17"/>
  <c r="H18" i="17"/>
  <c r="G18" i="17"/>
  <c r="F18" i="17"/>
  <c r="J17" i="17"/>
  <c r="I17" i="17"/>
  <c r="H17" i="17"/>
  <c r="G17" i="17"/>
  <c r="F17" i="17"/>
  <c r="J16" i="17"/>
  <c r="I16" i="17"/>
  <c r="H16" i="17"/>
  <c r="F16" i="17"/>
  <c r="J15" i="17"/>
  <c r="I15" i="17"/>
  <c r="H15" i="17"/>
  <c r="G15" i="17"/>
  <c r="F15" i="17"/>
  <c r="J14" i="17"/>
  <c r="I14" i="17"/>
  <c r="H14" i="17"/>
  <c r="G14" i="17"/>
  <c r="F14" i="17"/>
  <c r="J13" i="17"/>
  <c r="I13" i="17"/>
  <c r="H13" i="17"/>
  <c r="G13" i="17"/>
  <c r="F13" i="17"/>
  <c r="J12" i="17"/>
  <c r="I12" i="17"/>
  <c r="H12" i="17"/>
  <c r="G12" i="17"/>
  <c r="F12" i="17"/>
  <c r="J10" i="17"/>
  <c r="I10" i="17"/>
  <c r="F10" i="17"/>
  <c r="J9" i="17"/>
  <c r="I9" i="17"/>
  <c r="H9" i="17"/>
  <c r="G9" i="17"/>
  <c r="F9" i="17"/>
  <c r="J8" i="17"/>
  <c r="I8" i="17"/>
  <c r="H8" i="17"/>
  <c r="G8" i="17"/>
  <c r="F8" i="17"/>
  <c r="J7" i="17"/>
  <c r="I7" i="17"/>
  <c r="H7" i="17"/>
  <c r="G7" i="17"/>
  <c r="F7" i="17"/>
  <c r="J6" i="17"/>
  <c r="I6" i="17"/>
  <c r="H6" i="17"/>
  <c r="F6" i="17"/>
  <c r="J5" i="17"/>
  <c r="I5" i="17"/>
  <c r="H5" i="17"/>
  <c r="G5" i="17"/>
  <c r="F5" i="17"/>
  <c r="J4" i="17"/>
  <c r="I4" i="17"/>
  <c r="H4" i="17"/>
  <c r="G4" i="17"/>
  <c r="F4" i="17"/>
  <c r="J3" i="17"/>
  <c r="I3" i="17"/>
  <c r="H3" i="17"/>
  <c r="G3" i="17"/>
  <c r="F3" i="17"/>
  <c r="J2" i="17"/>
  <c r="I2" i="17"/>
  <c r="H2" i="17"/>
  <c r="G2" i="17"/>
  <c r="F2" i="17"/>
  <c r="L7" i="16"/>
  <c r="M3" i="17" s="1"/>
  <c r="M7" i="16"/>
  <c r="L8" i="16"/>
  <c r="M8" i="16"/>
  <c r="N4" i="18" s="1"/>
  <c r="L9" i="16"/>
  <c r="M15" i="17" s="1"/>
  <c r="M9" i="16"/>
  <c r="N5" i="17" s="1"/>
  <c r="L10" i="16"/>
  <c r="M16" i="17" s="1"/>
  <c r="M10" i="16"/>
  <c r="N16" i="17" s="1"/>
  <c r="L11" i="16"/>
  <c r="M17" i="17" s="1"/>
  <c r="M11" i="16"/>
  <c r="L12" i="16"/>
  <c r="J12" i="16" s="1"/>
  <c r="M12" i="16"/>
  <c r="N8" i="19" s="1"/>
  <c r="L13" i="16"/>
  <c r="M19" i="17" s="1"/>
  <c r="M13" i="16"/>
  <c r="N19" i="17" s="1"/>
  <c r="L14" i="16"/>
  <c r="M20" i="17" s="1"/>
  <c r="M14" i="16"/>
  <c r="N10" i="17" s="1"/>
  <c r="M6" i="16"/>
  <c r="N2" i="17" s="1"/>
  <c r="M2" i="18"/>
  <c r="N6" i="19" l="1"/>
  <c r="J10" i="16"/>
  <c r="K6" i="19" s="1"/>
  <c r="J15" i="16"/>
  <c r="M21" i="17"/>
  <c r="N5" i="19"/>
  <c r="J9" i="16"/>
  <c r="K15" i="17" s="1"/>
  <c r="M9" i="18"/>
  <c r="N9" i="18"/>
  <c r="N11" i="18"/>
  <c r="M3" i="19"/>
  <c r="J21" i="17"/>
  <c r="M6" i="18"/>
  <c r="N2" i="19"/>
  <c r="M10" i="19"/>
  <c r="I21" i="17"/>
  <c r="M5" i="18"/>
  <c r="M9" i="19"/>
  <c r="J13" i="16"/>
  <c r="H21" i="17"/>
  <c r="M5" i="17"/>
  <c r="N5" i="18"/>
  <c r="M6" i="19"/>
  <c r="N9" i="19"/>
  <c r="J11" i="16"/>
  <c r="K8" i="18"/>
  <c r="K8" i="19"/>
  <c r="K18" i="17"/>
  <c r="M11" i="19"/>
  <c r="M11" i="17"/>
  <c r="M11" i="18"/>
  <c r="K9" i="17"/>
  <c r="K9" i="18"/>
  <c r="N8" i="17"/>
  <c r="N8" i="18"/>
  <c r="N14" i="17"/>
  <c r="N4" i="19"/>
  <c r="M8" i="17"/>
  <c r="M8" i="19"/>
  <c r="M14" i="17"/>
  <c r="M4" i="18"/>
  <c r="J8" i="16"/>
  <c r="M4" i="19"/>
  <c r="M12" i="17"/>
  <c r="M2" i="19"/>
  <c r="J6" i="16"/>
  <c r="N17" i="17"/>
  <c r="N7" i="18"/>
  <c r="N7" i="19"/>
  <c r="N13" i="17"/>
  <c r="N3" i="18"/>
  <c r="N3" i="19"/>
  <c r="M8" i="18"/>
  <c r="N2" i="18"/>
  <c r="N6" i="18"/>
  <c r="M7" i="19"/>
  <c r="M3" i="18"/>
  <c r="M10" i="18"/>
  <c r="N10" i="19"/>
  <c r="J11" i="18"/>
  <c r="N6" i="17"/>
  <c r="N20" i="17"/>
  <c r="M7" i="18"/>
  <c r="N10" i="18"/>
  <c r="J7" i="16"/>
  <c r="I11" i="18"/>
  <c r="M5" i="19"/>
  <c r="J14" i="16"/>
  <c r="H11" i="18"/>
  <c r="K4" i="19"/>
  <c r="K6" i="17"/>
  <c r="K4" i="18"/>
  <c r="K6" i="18"/>
  <c r="K16" i="17"/>
  <c r="N12" i="17"/>
  <c r="N3" i="17"/>
  <c r="M6" i="17"/>
  <c r="M9" i="17"/>
  <c r="N15" i="17"/>
  <c r="M4" i="17"/>
  <c r="N9" i="17"/>
  <c r="M13" i="17"/>
  <c r="N18" i="17"/>
  <c r="K19" i="17"/>
  <c r="N4" i="17"/>
  <c r="M7" i="17"/>
  <c r="M18" i="17"/>
  <c r="M2" i="17"/>
  <c r="N7" i="17"/>
  <c r="K8" i="17"/>
  <c r="M10" i="17"/>
  <c r="C10" i="16"/>
  <c r="C6" i="16"/>
  <c r="F10" i="16"/>
  <c r="B34" i="14"/>
  <c r="M33" i="11"/>
  <c r="C11" i="16"/>
  <c r="C7" i="16"/>
  <c r="C12" i="16"/>
  <c r="C9" i="16"/>
  <c r="C13" i="16"/>
  <c r="C8" i="16"/>
  <c r="D8" i="16" l="1"/>
  <c r="N8" i="16"/>
  <c r="O8" i="16" s="1"/>
  <c r="P8" i="16" s="1"/>
  <c r="D13" i="16"/>
  <c r="N13" i="16"/>
  <c r="O13" i="16" s="1"/>
  <c r="P13" i="16" s="1"/>
  <c r="D6" i="16"/>
  <c r="N6" i="16"/>
  <c r="O6" i="16" s="1"/>
  <c r="P6" i="16" s="1"/>
  <c r="K5" i="17"/>
  <c r="N12" i="16"/>
  <c r="O12" i="16" s="1"/>
  <c r="P12" i="16" s="1"/>
  <c r="D12" i="16"/>
  <c r="D9" i="16"/>
  <c r="N9" i="16"/>
  <c r="O9" i="16" s="1"/>
  <c r="K5" i="18"/>
  <c r="K10" i="18"/>
  <c r="N14" i="16"/>
  <c r="O14" i="16" s="1"/>
  <c r="P14" i="16" s="1"/>
  <c r="N11" i="16"/>
  <c r="O11" i="16" s="1"/>
  <c r="P11" i="16" s="1"/>
  <c r="D11" i="16"/>
  <c r="D10" i="16"/>
  <c r="N10" i="16"/>
  <c r="O10" i="16" s="1"/>
  <c r="P10" i="16" s="1"/>
  <c r="K5" i="19"/>
  <c r="K9" i="19"/>
  <c r="D7" i="16"/>
  <c r="N7" i="16"/>
  <c r="O7" i="16" s="1"/>
  <c r="P7" i="16" s="1"/>
  <c r="N11" i="17"/>
  <c r="N11" i="19"/>
  <c r="N21" i="17"/>
  <c r="K7" i="18"/>
  <c r="K17" i="17"/>
  <c r="K7" i="19"/>
  <c r="K7" i="17"/>
  <c r="E5" i="19"/>
  <c r="E5" i="18"/>
  <c r="L2" i="19"/>
  <c r="L2" i="18"/>
  <c r="K20" i="17"/>
  <c r="K10" i="17"/>
  <c r="E3" i="18"/>
  <c r="E3" i="19"/>
  <c r="E8" i="19"/>
  <c r="E8" i="18"/>
  <c r="L9" i="18"/>
  <c r="L9" i="19"/>
  <c r="E6" i="18"/>
  <c r="E6" i="19"/>
  <c r="K10" i="19"/>
  <c r="E7" i="18"/>
  <c r="E7" i="19"/>
  <c r="K3" i="17"/>
  <c r="K3" i="18"/>
  <c r="K3" i="19"/>
  <c r="E4" i="19"/>
  <c r="E4" i="18"/>
  <c r="L8" i="19"/>
  <c r="L8" i="18"/>
  <c r="G6" i="18"/>
  <c r="G6" i="19"/>
  <c r="K14" i="17"/>
  <c r="K4" i="17"/>
  <c r="L3" i="18"/>
  <c r="L3" i="19"/>
  <c r="K2" i="19"/>
  <c r="K12" i="17"/>
  <c r="K2" i="17"/>
  <c r="K2" i="18"/>
  <c r="L7" i="18"/>
  <c r="L7" i="19"/>
  <c r="L5" i="19"/>
  <c r="L5" i="18"/>
  <c r="E9" i="18"/>
  <c r="E9" i="19"/>
  <c r="L4" i="18"/>
  <c r="L4" i="19"/>
  <c r="E2" i="19"/>
  <c r="E2" i="18"/>
  <c r="K13" i="17"/>
  <c r="E17" i="17"/>
  <c r="E7" i="17"/>
  <c r="L3" i="17"/>
  <c r="L13" i="17"/>
  <c r="L12" i="17"/>
  <c r="L2" i="17"/>
  <c r="E6" i="17"/>
  <c r="E16" i="17"/>
  <c r="E8" i="17"/>
  <c r="E18" i="17"/>
  <c r="E15" i="17"/>
  <c r="E5" i="17"/>
  <c r="L17" i="17"/>
  <c r="L7" i="17"/>
  <c r="L15" i="17"/>
  <c r="L5" i="17"/>
  <c r="L9" i="17"/>
  <c r="L19" i="17"/>
  <c r="E14" i="17"/>
  <c r="E4" i="17"/>
  <c r="L8" i="17"/>
  <c r="L18" i="17"/>
  <c r="E19" i="17"/>
  <c r="E9" i="17"/>
  <c r="L14" i="17"/>
  <c r="L4" i="17"/>
  <c r="G16" i="17"/>
  <c r="G6" i="17"/>
  <c r="E3" i="17"/>
  <c r="E13" i="17"/>
  <c r="E12" i="17"/>
  <c r="E2" i="17"/>
  <c r="J3" i="7"/>
  <c r="H3" i="7"/>
  <c r="I3" i="7"/>
  <c r="F3" i="7"/>
  <c r="E3" i="7"/>
  <c r="D3" i="7"/>
  <c r="F44" i="11"/>
  <c r="F53" i="11" s="1"/>
  <c r="C32" i="14"/>
  <c r="C31" i="14"/>
  <c r="C30" i="14"/>
  <c r="C29" i="14"/>
  <c r="D29" i="14" s="1"/>
  <c r="C28" i="14"/>
  <c r="C27" i="14"/>
  <c r="C26" i="14"/>
  <c r="C25" i="14"/>
  <c r="C24" i="14"/>
  <c r="C23" i="14"/>
  <c r="C22" i="14"/>
  <c r="C21" i="14"/>
  <c r="C20" i="14"/>
  <c r="D20" i="14" s="1"/>
  <c r="C19" i="14"/>
  <c r="C18" i="14"/>
  <c r="C17" i="14"/>
  <c r="C16" i="14"/>
  <c r="C15" i="14"/>
  <c r="C14" i="14"/>
  <c r="C13" i="14"/>
  <c r="C11" i="14"/>
  <c r="C10" i="14"/>
  <c r="C12" i="14" s="1"/>
  <c r="C10" i="13"/>
  <c r="C9" i="13"/>
  <c r="C8" i="13"/>
  <c r="C6" i="13"/>
  <c r="C5" i="13"/>
  <c r="C4" i="13"/>
  <c r="B3" i="13"/>
  <c r="C3" i="13" s="1"/>
  <c r="E6" i="12"/>
  <c r="C6" i="12"/>
  <c r="B6" i="12"/>
  <c r="E4" i="12"/>
  <c r="C4" i="12"/>
  <c r="B4" i="12"/>
  <c r="F123" i="11"/>
  <c r="C123" i="11"/>
  <c r="C121" i="11"/>
  <c r="C120" i="11"/>
  <c r="C118" i="11"/>
  <c r="F111" i="11"/>
  <c r="C111" i="11"/>
  <c r="C114" i="11" s="1"/>
  <c r="F110" i="11"/>
  <c r="C109" i="11"/>
  <c r="C108" i="11"/>
  <c r="C107" i="11"/>
  <c r="C106" i="11"/>
  <c r="D100" i="11"/>
  <c r="C103" i="11" s="1"/>
  <c r="D98" i="11"/>
  <c r="D97" i="11"/>
  <c r="C96" i="11"/>
  <c r="C95" i="11"/>
  <c r="C88" i="11"/>
  <c r="C86" i="11"/>
  <c r="F109" i="11" s="1"/>
  <c r="C82" i="11"/>
  <c r="F78" i="11"/>
  <c r="C74" i="11"/>
  <c r="C69" i="11"/>
  <c r="C71" i="11" s="1"/>
  <c r="C64" i="11"/>
  <c r="C67" i="11" s="1"/>
  <c r="G63" i="11"/>
  <c r="F63" i="11"/>
  <c r="C63" i="11"/>
  <c r="C59" i="11"/>
  <c r="C60" i="11" s="1"/>
  <c r="C56" i="11"/>
  <c r="F55" i="11"/>
  <c r="C52" i="11"/>
  <c r="I49" i="11"/>
  <c r="J46" i="11"/>
  <c r="I46" i="11"/>
  <c r="J45" i="11"/>
  <c r="I45" i="11"/>
  <c r="F45" i="11"/>
  <c r="F75" i="11" s="1"/>
  <c r="J44" i="11"/>
  <c r="I44" i="11"/>
  <c r="J43" i="11"/>
  <c r="I43" i="11"/>
  <c r="F43" i="11"/>
  <c r="F42" i="11"/>
  <c r="F41" i="11"/>
  <c r="I53" i="11" s="1"/>
  <c r="D41" i="11"/>
  <c r="E34" i="11"/>
  <c r="D34" i="11"/>
  <c r="E32" i="11"/>
  <c r="D32" i="11"/>
  <c r="C44" i="11" s="1"/>
  <c r="D44" i="11" s="1"/>
  <c r="E31" i="11"/>
  <c r="D31" i="11"/>
  <c r="C43" i="11" s="1"/>
  <c r="D43" i="11" s="1"/>
  <c r="K30" i="11"/>
  <c r="I30" i="11"/>
  <c r="I37" i="11" s="1"/>
  <c r="H30" i="11"/>
  <c r="H37" i="11" s="1"/>
  <c r="G30" i="11"/>
  <c r="F30" i="11"/>
  <c r="F37" i="11" s="1"/>
  <c r="C75" i="11" s="1"/>
  <c r="C78" i="11" s="1"/>
  <c r="D30" i="11"/>
  <c r="C26" i="11"/>
  <c r="E26" i="11" s="1"/>
  <c r="C25" i="11"/>
  <c r="E25" i="11" s="1"/>
  <c r="C24" i="11"/>
  <c r="C22" i="11"/>
  <c r="D24" i="11" s="1"/>
  <c r="D21" i="11"/>
  <c r="C21" i="11"/>
  <c r="C20" i="11"/>
  <c r="C19" i="11"/>
  <c r="C27" i="11" s="1"/>
  <c r="C14" i="11"/>
  <c r="C13" i="11"/>
  <c r="C12" i="11"/>
  <c r="C9" i="11"/>
  <c r="C8" i="11"/>
  <c r="C7" i="11"/>
  <c r="C6" i="11"/>
  <c r="C5" i="11"/>
  <c r="C79" i="8"/>
  <c r="P9" i="16" l="1"/>
  <c r="D5" i="13"/>
  <c r="D104" i="11"/>
  <c r="E19" i="11"/>
  <c r="F19" i="11" s="1"/>
  <c r="C15" i="11"/>
  <c r="D27" i="11"/>
  <c r="D10" i="13"/>
  <c r="C5" i="12"/>
  <c r="C8" i="12" s="1"/>
  <c r="K44" i="11"/>
  <c r="C99" i="11"/>
  <c r="G3" i="7"/>
  <c r="K11" i="19"/>
  <c r="K11" i="17"/>
  <c r="K11" i="18"/>
  <c r="K21" i="17"/>
  <c r="C61" i="11"/>
  <c r="F52" i="11" s="1"/>
  <c r="F54" i="11" s="1"/>
  <c r="E5" i="12" s="1"/>
  <c r="E8" i="12" s="1"/>
  <c r="D8" i="13"/>
  <c r="L6" i="18"/>
  <c r="L6" i="19"/>
  <c r="C126" i="11"/>
  <c r="C110" i="11"/>
  <c r="C115" i="11" s="1"/>
  <c r="F106" i="11" s="1"/>
  <c r="D4" i="13"/>
  <c r="E20" i="11"/>
  <c r="C31" i="11" s="1"/>
  <c r="K45" i="11"/>
  <c r="L6" i="17"/>
  <c r="L16" i="17"/>
  <c r="K43" i="11"/>
  <c r="H63" i="11"/>
  <c r="H64" i="11" s="1"/>
  <c r="B5" i="12" s="1"/>
  <c r="B8" i="12" s="1"/>
  <c r="E37" i="11"/>
  <c r="E38" i="11" s="1"/>
  <c r="F112" i="11"/>
  <c r="C72" i="11"/>
  <c r="F64" i="11" s="1"/>
  <c r="F65" i="11" s="1"/>
  <c r="I48" i="11"/>
  <c r="I50" i="11" s="1"/>
  <c r="I47" i="11"/>
  <c r="F9" i="10"/>
  <c r="J32" i="11"/>
  <c r="M32" i="11" s="1"/>
  <c r="C42" i="11"/>
  <c r="F46" i="11"/>
  <c r="C36" i="11"/>
  <c r="F26" i="11"/>
  <c r="C83" i="11"/>
  <c r="F74" i="11" s="1"/>
  <c r="D3" i="13"/>
  <c r="C11" i="13"/>
  <c r="F25" i="11"/>
  <c r="C35" i="11"/>
  <c r="C104" i="11"/>
  <c r="F95" i="11" s="1"/>
  <c r="F76" i="11" s="1"/>
  <c r="C46" i="11"/>
  <c r="J30" i="11"/>
  <c r="M30" i="11" s="1"/>
  <c r="J34" i="11"/>
  <c r="M34" i="11" s="1"/>
  <c r="I54" i="11"/>
  <c r="I55" i="11" s="1"/>
  <c r="C87" i="11"/>
  <c r="C89" i="11" s="1"/>
  <c r="D9" i="13"/>
  <c r="E21" i="11"/>
  <c r="F21" i="11" s="1"/>
  <c r="E24" i="11"/>
  <c r="J31" i="11"/>
  <c r="M31" i="11" s="1"/>
  <c r="C119" i="11"/>
  <c r="C122" i="11" s="1"/>
  <c r="K46" i="11"/>
  <c r="G9" i="9"/>
  <c r="F379" i="9"/>
  <c r="E379" i="9"/>
  <c r="U370" i="9"/>
  <c r="G370" i="9"/>
  <c r="G379" i="9" s="1"/>
  <c r="F370" i="9"/>
  <c r="E370" i="9"/>
  <c r="D370" i="9"/>
  <c r="D379" i="9" s="1"/>
  <c r="U369" i="9"/>
  <c r="Q369" i="9"/>
  <c r="P369" i="9"/>
  <c r="O369" i="9"/>
  <c r="M369" i="9"/>
  <c r="L369" i="9"/>
  <c r="V369" i="9" s="1"/>
  <c r="J369" i="9"/>
  <c r="I369" i="9"/>
  <c r="H369" i="9"/>
  <c r="Y368" i="9"/>
  <c r="U368" i="9"/>
  <c r="S368" i="9"/>
  <c r="Q368" i="9"/>
  <c r="P368" i="9"/>
  <c r="O368" i="9"/>
  <c r="R368" i="9" s="1"/>
  <c r="J368" i="9"/>
  <c r="L368" i="9" s="1"/>
  <c r="V368" i="9" s="1"/>
  <c r="I368" i="9"/>
  <c r="H368" i="9"/>
  <c r="W367" i="9"/>
  <c r="U367" i="9"/>
  <c r="Q367" i="9"/>
  <c r="P367" i="9"/>
  <c r="O367" i="9"/>
  <c r="R367" i="9" s="1"/>
  <c r="M367" i="9"/>
  <c r="L367" i="9"/>
  <c r="V367" i="9" s="1"/>
  <c r="J367" i="9"/>
  <c r="I367" i="9"/>
  <c r="H367" i="9"/>
  <c r="U366" i="9"/>
  <c r="S366" i="9"/>
  <c r="Y366" i="9" s="1"/>
  <c r="Q366" i="9"/>
  <c r="P366" i="9"/>
  <c r="O366" i="9"/>
  <c r="J366" i="9"/>
  <c r="L366" i="9" s="1"/>
  <c r="V366" i="9" s="1"/>
  <c r="I366" i="9"/>
  <c r="H366" i="9"/>
  <c r="U365" i="9"/>
  <c r="S365" i="9"/>
  <c r="Y365" i="9" s="1"/>
  <c r="Q365" i="9"/>
  <c r="P365" i="9"/>
  <c r="O365" i="9"/>
  <c r="J365" i="9"/>
  <c r="I365" i="9"/>
  <c r="H365" i="9"/>
  <c r="Y364" i="9"/>
  <c r="U364" i="9"/>
  <c r="S364" i="9"/>
  <c r="Q364" i="9"/>
  <c r="P364" i="9"/>
  <c r="O364" i="9"/>
  <c r="L364" i="9"/>
  <c r="V364" i="9" s="1"/>
  <c r="J364" i="9"/>
  <c r="I364" i="9"/>
  <c r="H364" i="9"/>
  <c r="U363" i="9"/>
  <c r="S363" i="9"/>
  <c r="Y363" i="9" s="1"/>
  <c r="Q363" i="9"/>
  <c r="P363" i="9"/>
  <c r="O363" i="9"/>
  <c r="I363" i="9"/>
  <c r="C363" i="9" s="1"/>
  <c r="U362" i="9"/>
  <c r="S362" i="9"/>
  <c r="Y362" i="9" s="1"/>
  <c r="Q362" i="9"/>
  <c r="P362" i="9"/>
  <c r="O362" i="9"/>
  <c r="J362" i="9"/>
  <c r="I362" i="9"/>
  <c r="H362" i="9"/>
  <c r="U361" i="9"/>
  <c r="S361" i="9"/>
  <c r="Y361" i="9" s="1"/>
  <c r="Q361" i="9"/>
  <c r="P361" i="9"/>
  <c r="O361" i="9"/>
  <c r="R361" i="9" s="1"/>
  <c r="L361" i="9"/>
  <c r="V361" i="9" s="1"/>
  <c r="J361" i="9"/>
  <c r="I361" i="9"/>
  <c r="H361" i="9"/>
  <c r="U360" i="9"/>
  <c r="S360" i="9"/>
  <c r="Y360" i="9" s="1"/>
  <c r="Q360" i="9"/>
  <c r="P360" i="9"/>
  <c r="O360" i="9"/>
  <c r="W360" i="9" s="1"/>
  <c r="K360" i="9" s="1"/>
  <c r="M360" i="9" s="1"/>
  <c r="J360" i="9"/>
  <c r="L360" i="9" s="1"/>
  <c r="V360" i="9" s="1"/>
  <c r="I360" i="9"/>
  <c r="H360" i="9"/>
  <c r="U359" i="9"/>
  <c r="Q359" i="9"/>
  <c r="P359" i="9"/>
  <c r="O359" i="9"/>
  <c r="M359" i="9"/>
  <c r="L359" i="9"/>
  <c r="V359" i="9" s="1"/>
  <c r="J359" i="9"/>
  <c r="I359" i="9"/>
  <c r="H359" i="9"/>
  <c r="U358" i="9"/>
  <c r="S358" i="9"/>
  <c r="Y358" i="9" s="1"/>
  <c r="Q358" i="9"/>
  <c r="W358" i="9" s="1"/>
  <c r="P358" i="9"/>
  <c r="O358" i="9"/>
  <c r="J358" i="9"/>
  <c r="I358" i="9"/>
  <c r="H358" i="9"/>
  <c r="U357" i="9"/>
  <c r="S357" i="9"/>
  <c r="Y357" i="9" s="1"/>
  <c r="Q357" i="9"/>
  <c r="P357" i="9"/>
  <c r="O357" i="9"/>
  <c r="J357" i="9"/>
  <c r="L357" i="9" s="1"/>
  <c r="V357" i="9" s="1"/>
  <c r="I357" i="9"/>
  <c r="H357" i="9"/>
  <c r="U356" i="9"/>
  <c r="S356" i="9"/>
  <c r="Y356" i="9" s="1"/>
  <c r="Q356" i="9"/>
  <c r="P356" i="9"/>
  <c r="O356" i="9"/>
  <c r="J356" i="9"/>
  <c r="L356" i="9" s="1"/>
  <c r="V356" i="9" s="1"/>
  <c r="I356" i="9"/>
  <c r="H356" i="9"/>
  <c r="U355" i="9"/>
  <c r="S355" i="9"/>
  <c r="Y355" i="9" s="1"/>
  <c r="Q355" i="9"/>
  <c r="P355" i="9"/>
  <c r="O355" i="9"/>
  <c r="J355" i="9"/>
  <c r="L355" i="9" s="1"/>
  <c r="V355" i="9" s="1"/>
  <c r="I355" i="9"/>
  <c r="H355" i="9"/>
  <c r="U354" i="9"/>
  <c r="S354" i="9"/>
  <c r="Y354" i="9" s="1"/>
  <c r="Q354" i="9"/>
  <c r="P354" i="9"/>
  <c r="O354" i="9"/>
  <c r="J354" i="9"/>
  <c r="I354" i="9"/>
  <c r="H354" i="9"/>
  <c r="U353" i="9"/>
  <c r="S353" i="9"/>
  <c r="Y353" i="9" s="1"/>
  <c r="Q353" i="9"/>
  <c r="P353" i="9"/>
  <c r="O353" i="9"/>
  <c r="J353" i="9"/>
  <c r="L353" i="9" s="1"/>
  <c r="V353" i="9" s="1"/>
  <c r="I353" i="9"/>
  <c r="H353" i="9"/>
  <c r="U352" i="9"/>
  <c r="S352" i="9"/>
  <c r="Y352" i="9" s="1"/>
  <c r="Q352" i="9"/>
  <c r="P352" i="9"/>
  <c r="O352" i="9"/>
  <c r="R352" i="9" s="1"/>
  <c r="J352" i="9"/>
  <c r="L352" i="9" s="1"/>
  <c r="V352" i="9" s="1"/>
  <c r="I352" i="9"/>
  <c r="H352" i="9"/>
  <c r="U351" i="9"/>
  <c r="S351" i="9"/>
  <c r="Y351" i="9" s="1"/>
  <c r="Q351" i="9"/>
  <c r="P351" i="9"/>
  <c r="O351" i="9"/>
  <c r="L351" i="9"/>
  <c r="V351" i="9" s="1"/>
  <c r="J351" i="9"/>
  <c r="I351" i="9"/>
  <c r="H351" i="9"/>
  <c r="U350" i="9"/>
  <c r="S350" i="9"/>
  <c r="Y350" i="9" s="1"/>
  <c r="Q350" i="9"/>
  <c r="P350" i="9"/>
  <c r="O350" i="9"/>
  <c r="R350" i="9" s="1"/>
  <c r="N350" i="9" s="1"/>
  <c r="J350" i="9"/>
  <c r="I350" i="9"/>
  <c r="H350" i="9"/>
  <c r="U349" i="9"/>
  <c r="S349" i="9"/>
  <c r="Y349" i="9" s="1"/>
  <c r="Q349" i="9"/>
  <c r="P349" i="9"/>
  <c r="O349" i="9"/>
  <c r="J349" i="9"/>
  <c r="L349" i="9" s="1"/>
  <c r="V349" i="9" s="1"/>
  <c r="I349" i="9"/>
  <c r="H349" i="9"/>
  <c r="U348" i="9"/>
  <c r="S348" i="9"/>
  <c r="Y348" i="9" s="1"/>
  <c r="Q348" i="9"/>
  <c r="P348" i="9"/>
  <c r="O348" i="9"/>
  <c r="J348" i="9"/>
  <c r="L348" i="9" s="1"/>
  <c r="V348" i="9" s="1"/>
  <c r="I348" i="9"/>
  <c r="H348" i="9"/>
  <c r="U347" i="9"/>
  <c r="S347" i="9"/>
  <c r="Y347" i="9" s="1"/>
  <c r="Q347" i="9"/>
  <c r="P347" i="9"/>
  <c r="O347" i="9"/>
  <c r="J347" i="9"/>
  <c r="L347" i="9" s="1"/>
  <c r="I347" i="9"/>
  <c r="H347" i="9"/>
  <c r="V346" i="9"/>
  <c r="Q346" i="9"/>
  <c r="P346" i="9"/>
  <c r="O346" i="9"/>
  <c r="M344" i="9"/>
  <c r="L344" i="9"/>
  <c r="K344" i="9"/>
  <c r="H344" i="9"/>
  <c r="G344" i="9"/>
  <c r="F344" i="9"/>
  <c r="E344" i="9"/>
  <c r="D344" i="9"/>
  <c r="C344" i="9"/>
  <c r="Q343" i="9"/>
  <c r="P343" i="9"/>
  <c r="M343" i="9"/>
  <c r="L343" i="9"/>
  <c r="K343" i="9"/>
  <c r="J343" i="9"/>
  <c r="I343" i="9"/>
  <c r="Q342" i="9"/>
  <c r="P342" i="9"/>
  <c r="M342" i="9"/>
  <c r="L342" i="9"/>
  <c r="K342" i="9"/>
  <c r="Q341" i="9"/>
  <c r="P341" i="9"/>
  <c r="M341" i="9"/>
  <c r="L341" i="9"/>
  <c r="K341" i="9"/>
  <c r="Q340" i="9"/>
  <c r="P340" i="9"/>
  <c r="M340" i="9"/>
  <c r="L340" i="9"/>
  <c r="K340" i="9"/>
  <c r="Q339" i="9"/>
  <c r="P339" i="9"/>
  <c r="K339" i="9"/>
  <c r="Q338" i="9"/>
  <c r="P338" i="9"/>
  <c r="K338" i="9"/>
  <c r="Q337" i="9"/>
  <c r="P337" i="9"/>
  <c r="K337" i="9"/>
  <c r="Q336" i="9"/>
  <c r="P336" i="9"/>
  <c r="K336" i="9"/>
  <c r="K335" i="9"/>
  <c r="K334" i="9"/>
  <c r="K333" i="9"/>
  <c r="K332" i="9"/>
  <c r="K331" i="9"/>
  <c r="K330" i="9"/>
  <c r="T329" i="9"/>
  <c r="S329" i="9"/>
  <c r="R329" i="9"/>
  <c r="Q329" i="9"/>
  <c r="P329" i="9"/>
  <c r="O329" i="9"/>
  <c r="N329" i="9"/>
  <c r="M329" i="9"/>
  <c r="L329" i="9"/>
  <c r="K329" i="9"/>
  <c r="T328" i="9"/>
  <c r="S328" i="9"/>
  <c r="R328" i="9"/>
  <c r="Q328" i="9"/>
  <c r="P328" i="9"/>
  <c r="O328" i="9"/>
  <c r="N328" i="9"/>
  <c r="M328" i="9"/>
  <c r="L328" i="9"/>
  <c r="K328" i="9"/>
  <c r="T327" i="9"/>
  <c r="S327" i="9"/>
  <c r="R327" i="9"/>
  <c r="Q327" i="9"/>
  <c r="P327" i="9"/>
  <c r="O327" i="9"/>
  <c r="N327" i="9"/>
  <c r="M327" i="9"/>
  <c r="L327" i="9"/>
  <c r="K327" i="9"/>
  <c r="D319" i="9"/>
  <c r="D317" i="9"/>
  <c r="D315" i="9"/>
  <c r="C312" i="9"/>
  <c r="B312" i="9"/>
  <c r="C311" i="9"/>
  <c r="B311" i="9"/>
  <c r="C300" i="9"/>
  <c r="E298" i="9"/>
  <c r="B298" i="9"/>
  <c r="E297" i="9"/>
  <c r="B297" i="9"/>
  <c r="C296" i="9"/>
  <c r="S295" i="9"/>
  <c r="B293" i="9"/>
  <c r="B292" i="9"/>
  <c r="C291" i="9"/>
  <c r="A270" i="9" s="1"/>
  <c r="B291" i="9"/>
  <c r="N288" i="9"/>
  <c r="M288" i="9"/>
  <c r="P286" i="9"/>
  <c r="O286" i="9"/>
  <c r="N286" i="9"/>
  <c r="M286" i="9"/>
  <c r="L286" i="9"/>
  <c r="K286" i="9"/>
  <c r="J286" i="9"/>
  <c r="I286" i="9"/>
  <c r="H286" i="9"/>
  <c r="G286" i="9"/>
  <c r="F286" i="9"/>
  <c r="P285" i="9"/>
  <c r="O285" i="9"/>
  <c r="N285" i="9"/>
  <c r="M285" i="9"/>
  <c r="L285" i="9"/>
  <c r="K285" i="9"/>
  <c r="J285" i="9"/>
  <c r="I285" i="9"/>
  <c r="H285" i="9"/>
  <c r="G285" i="9"/>
  <c r="F285" i="9"/>
  <c r="P281" i="9"/>
  <c r="N281" i="9"/>
  <c r="M281" i="9"/>
  <c r="L281" i="9"/>
  <c r="J281" i="9"/>
  <c r="H281" i="9"/>
  <c r="D279" i="9"/>
  <c r="D293" i="9" s="1"/>
  <c r="I293" i="9" s="1"/>
  <c r="C279" i="9"/>
  <c r="C281" i="9" s="1"/>
  <c r="A279" i="9"/>
  <c r="E278" i="9"/>
  <c r="D278" i="9"/>
  <c r="C278" i="9"/>
  <c r="D277" i="9"/>
  <c r="F277" i="9" s="1"/>
  <c r="E277" i="9" s="1"/>
  <c r="C277" i="9"/>
  <c r="D276" i="9"/>
  <c r="C276" i="9"/>
  <c r="D275" i="9"/>
  <c r="D292" i="9" s="1"/>
  <c r="N292" i="9" s="1"/>
  <c r="C275" i="9"/>
  <c r="A275" i="9"/>
  <c r="D274" i="9"/>
  <c r="C274" i="9"/>
  <c r="E273" i="9"/>
  <c r="D273" i="9"/>
  <c r="C273" i="9"/>
  <c r="D270" i="9"/>
  <c r="L270" i="9" s="1"/>
  <c r="C270" i="9"/>
  <c r="D269" i="9"/>
  <c r="C269" i="9"/>
  <c r="D268" i="9"/>
  <c r="C268" i="9"/>
  <c r="P266" i="9"/>
  <c r="L266" i="9"/>
  <c r="J266" i="9"/>
  <c r="H266" i="9"/>
  <c r="D265" i="9"/>
  <c r="F265" i="9" s="1"/>
  <c r="E265" i="9" s="1"/>
  <c r="C265" i="9"/>
  <c r="D264" i="9"/>
  <c r="M264" i="9" s="1"/>
  <c r="M274" i="9" s="1"/>
  <c r="M282" i="9" s="1"/>
  <c r="C264" i="9"/>
  <c r="D263" i="9"/>
  <c r="C263" i="9"/>
  <c r="D262" i="9"/>
  <c r="C262" i="9"/>
  <c r="D261" i="9"/>
  <c r="C261" i="9"/>
  <c r="C298" i="9" s="1"/>
  <c r="D260" i="9"/>
  <c r="D297" i="9" s="1"/>
  <c r="C260" i="9"/>
  <c r="C297" i="9" s="1"/>
  <c r="E259" i="9"/>
  <c r="D259" i="9"/>
  <c r="C259" i="9"/>
  <c r="E258" i="9"/>
  <c r="D258" i="9"/>
  <c r="C258" i="9"/>
  <c r="E257" i="9"/>
  <c r="D257" i="9"/>
  <c r="C257" i="9"/>
  <c r="S253" i="9"/>
  <c r="F247" i="9"/>
  <c r="F246" i="9"/>
  <c r="M245" i="9"/>
  <c r="F245" i="9"/>
  <c r="N244" i="9"/>
  <c r="M244" i="9"/>
  <c r="N243" i="9"/>
  <c r="F240" i="9"/>
  <c r="F238" i="9"/>
  <c r="O236" i="9"/>
  <c r="N236" i="9"/>
  <c r="M236" i="9"/>
  <c r="K236" i="9"/>
  <c r="I236" i="9"/>
  <c r="G236" i="9"/>
  <c r="F236" i="9"/>
  <c r="D232" i="9"/>
  <c r="D231" i="9"/>
  <c r="D230" i="9"/>
  <c r="D229" i="9"/>
  <c r="D228" i="9"/>
  <c r="T223" i="9"/>
  <c r="C221" i="9"/>
  <c r="N213" i="9"/>
  <c r="O213" i="9" s="1"/>
  <c r="M213" i="9"/>
  <c r="E213" i="9"/>
  <c r="D214" i="9" s="1"/>
  <c r="D213" i="9"/>
  <c r="C213" i="9"/>
  <c r="N212" i="9"/>
  <c r="O212" i="9" s="1"/>
  <c r="M212" i="9"/>
  <c r="K212" i="9"/>
  <c r="J212" i="9"/>
  <c r="P238" i="9" s="1"/>
  <c r="P250" i="9" s="1"/>
  <c r="I212" i="9"/>
  <c r="O237" i="9" s="1"/>
  <c r="H212" i="9"/>
  <c r="N211" i="9"/>
  <c r="O211" i="9" s="1"/>
  <c r="M211" i="9"/>
  <c r="J211" i="9"/>
  <c r="F211" i="9"/>
  <c r="I211" i="9" s="1"/>
  <c r="N237" i="9" s="1"/>
  <c r="N210" i="9"/>
  <c r="O210" i="9" s="1"/>
  <c r="M210" i="9"/>
  <c r="J210" i="9"/>
  <c r="F210" i="9"/>
  <c r="I210" i="9" s="1"/>
  <c r="M237" i="9" s="1"/>
  <c r="N209" i="9"/>
  <c r="O209" i="9" s="1"/>
  <c r="M209" i="9"/>
  <c r="H209" i="9"/>
  <c r="F209" i="9"/>
  <c r="I209" i="9" s="1"/>
  <c r="H208" i="9"/>
  <c r="F208" i="9"/>
  <c r="I208" i="9" s="1"/>
  <c r="I237" i="9" s="1"/>
  <c r="H207" i="9"/>
  <c r="G207" i="9"/>
  <c r="J207" i="9" s="1"/>
  <c r="H238" i="9" s="1"/>
  <c r="F207" i="9"/>
  <c r="I207" i="9" s="1"/>
  <c r="N206" i="9"/>
  <c r="M206" i="9"/>
  <c r="K206" i="9"/>
  <c r="J206" i="9"/>
  <c r="F206" i="9"/>
  <c r="I206" i="9" s="1"/>
  <c r="C200" i="9"/>
  <c r="C199" i="9"/>
  <c r="G209" i="9" s="1"/>
  <c r="J209" i="9" s="1"/>
  <c r="L238" i="9" s="1"/>
  <c r="C198" i="9"/>
  <c r="E196" i="9"/>
  <c r="D196" i="9"/>
  <c r="C196" i="9"/>
  <c r="E192" i="9"/>
  <c r="D192" i="9"/>
  <c r="V191" i="9"/>
  <c r="M187" i="9"/>
  <c r="M186" i="9"/>
  <c r="M185" i="9"/>
  <c r="M184" i="9"/>
  <c r="G183" i="9"/>
  <c r="Q151" i="9" s="1"/>
  <c r="Q152" i="9" s="1"/>
  <c r="C183" i="9"/>
  <c r="S182" i="9"/>
  <c r="J182" i="9"/>
  <c r="E182" i="9"/>
  <c r="J157" i="9" s="1"/>
  <c r="D182" i="9"/>
  <c r="N181" i="9"/>
  <c r="H181" i="9"/>
  <c r="J181" i="9" s="1"/>
  <c r="R180" i="9"/>
  <c r="H180" i="9"/>
  <c r="J180" i="9" s="1"/>
  <c r="I179" i="9"/>
  <c r="E179" i="9"/>
  <c r="D179" i="9"/>
  <c r="I178" i="9"/>
  <c r="E178" i="9"/>
  <c r="D178" i="9"/>
  <c r="I177" i="9"/>
  <c r="H177" i="9"/>
  <c r="D177" i="9"/>
  <c r="U176" i="9"/>
  <c r="T176" i="9"/>
  <c r="P176" i="9"/>
  <c r="P183" i="9" s="1"/>
  <c r="O176" i="9"/>
  <c r="M176" i="9"/>
  <c r="J156" i="9" s="1"/>
  <c r="K156" i="9" s="1"/>
  <c r="H176" i="9"/>
  <c r="J176" i="9" s="1"/>
  <c r="J171" i="9"/>
  <c r="K171" i="9" s="1"/>
  <c r="J170" i="9"/>
  <c r="M163" i="9"/>
  <c r="M162" i="9"/>
  <c r="J162" i="9"/>
  <c r="N161" i="9"/>
  <c r="M161" i="9"/>
  <c r="M164" i="9" s="1"/>
  <c r="J164" i="9" s="1"/>
  <c r="G159" i="9"/>
  <c r="N158" i="9"/>
  <c r="G158" i="9"/>
  <c r="G157" i="9"/>
  <c r="G156" i="9"/>
  <c r="G155" i="9"/>
  <c r="O154" i="9"/>
  <c r="K153" i="9"/>
  <c r="K170" i="9" s="1"/>
  <c r="I152" i="9"/>
  <c r="H152" i="9"/>
  <c r="M151" i="9"/>
  <c r="M152" i="9" s="1"/>
  <c r="I151" i="9"/>
  <c r="F149" i="9"/>
  <c r="E149" i="9"/>
  <c r="D149" i="9"/>
  <c r="J146" i="9"/>
  <c r="J145" i="9"/>
  <c r="P142" i="9"/>
  <c r="N142" i="9"/>
  <c r="M142" i="9"/>
  <c r="M134" i="9" s="1"/>
  <c r="K142" i="9"/>
  <c r="F140" i="9"/>
  <c r="E140" i="9"/>
  <c r="D140" i="9"/>
  <c r="P139" i="9"/>
  <c r="O139" i="9"/>
  <c r="O134" i="9" s="1"/>
  <c r="K139" i="9"/>
  <c r="N136" i="9"/>
  <c r="L136" i="9"/>
  <c r="L134" i="9" s="1"/>
  <c r="K136" i="9"/>
  <c r="F135" i="9"/>
  <c r="R184" i="9" s="1"/>
  <c r="E135" i="9"/>
  <c r="D135" i="9"/>
  <c r="P134" i="9"/>
  <c r="I131" i="9"/>
  <c r="I132" i="9" s="1"/>
  <c r="H131" i="9"/>
  <c r="H132" i="9" s="1"/>
  <c r="G131" i="9"/>
  <c r="G132" i="9" s="1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Q112" i="9"/>
  <c r="Q115" i="9" s="1"/>
  <c r="P112" i="9"/>
  <c r="P115" i="9" s="1"/>
  <c r="O112" i="9"/>
  <c r="O115" i="9" s="1"/>
  <c r="N112" i="9"/>
  <c r="N115" i="9" s="1"/>
  <c r="M112" i="9"/>
  <c r="M115" i="9" s="1"/>
  <c r="L112" i="9"/>
  <c r="L115" i="9" s="1"/>
  <c r="K112" i="9"/>
  <c r="K115" i="9" s="1"/>
  <c r="J112" i="9"/>
  <c r="J115" i="9" s="1"/>
  <c r="H88" i="9" s="1"/>
  <c r="I112" i="9"/>
  <c r="I115" i="9" s="1"/>
  <c r="G88" i="9" s="1"/>
  <c r="H112" i="9"/>
  <c r="H115" i="9" s="1"/>
  <c r="G112" i="9"/>
  <c r="G115" i="9" s="1"/>
  <c r="F112" i="9"/>
  <c r="F115" i="9" s="1"/>
  <c r="H90" i="9" s="1"/>
  <c r="H91" i="9" s="1"/>
  <c r="E112" i="9"/>
  <c r="E115" i="9" s="1"/>
  <c r="G90" i="9" s="1"/>
  <c r="D112" i="9"/>
  <c r="D115" i="9" s="1"/>
  <c r="H89" i="9" s="1"/>
  <c r="C112" i="9"/>
  <c r="B112" i="9"/>
  <c r="B115" i="9" s="1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AB92" i="9"/>
  <c r="AB94" i="9" s="1"/>
  <c r="X92" i="9"/>
  <c r="X94" i="9" s="1"/>
  <c r="S92" i="9"/>
  <c r="S94" i="9" s="1"/>
  <c r="N92" i="9"/>
  <c r="N94" i="9" s="1"/>
  <c r="AB91" i="9"/>
  <c r="AB96" i="9" s="1"/>
  <c r="X91" i="9"/>
  <c r="X96" i="9" s="1"/>
  <c r="S91" i="9"/>
  <c r="S96" i="9" s="1"/>
  <c r="N91" i="9"/>
  <c r="N96" i="9" s="1"/>
  <c r="D84" i="9"/>
  <c r="C84" i="9"/>
  <c r="AK83" i="9"/>
  <c r="AH83" i="9"/>
  <c r="AG83" i="9"/>
  <c r="AD83" i="9"/>
  <c r="AA83" i="9"/>
  <c r="R83" i="9" s="1"/>
  <c r="Z83" i="9"/>
  <c r="W83" i="9"/>
  <c r="U83" i="9"/>
  <c r="P83" i="9"/>
  <c r="G83" i="9"/>
  <c r="G81" i="9" s="1"/>
  <c r="E83" i="9"/>
  <c r="D83" i="9"/>
  <c r="C83" i="9"/>
  <c r="AK82" i="9"/>
  <c r="AH82" i="9"/>
  <c r="AG82" i="9"/>
  <c r="AD82" i="9"/>
  <c r="AA82" i="9"/>
  <c r="R82" i="9" s="1"/>
  <c r="Z82" i="9"/>
  <c r="W82" i="9"/>
  <c r="U82" i="9"/>
  <c r="P82" i="9"/>
  <c r="E82" i="9"/>
  <c r="D82" i="9"/>
  <c r="C82" i="9"/>
  <c r="A82" i="9"/>
  <c r="AH81" i="9"/>
  <c r="E81" i="9"/>
  <c r="AH80" i="9"/>
  <c r="E80" i="9"/>
  <c r="AH79" i="9"/>
  <c r="G79" i="9"/>
  <c r="E79" i="9"/>
  <c r="AH78" i="9"/>
  <c r="E78" i="9"/>
  <c r="AH77" i="9"/>
  <c r="E77" i="9"/>
  <c r="E90" i="9" s="1"/>
  <c r="AH76" i="9"/>
  <c r="AA76" i="9"/>
  <c r="R76" i="9" s="1"/>
  <c r="W76" i="9"/>
  <c r="G76" i="9"/>
  <c r="G80" i="9" s="1"/>
  <c r="E76" i="9"/>
  <c r="AH75" i="9"/>
  <c r="L75" i="9"/>
  <c r="V75" i="9" s="1"/>
  <c r="E75" i="9"/>
  <c r="D73" i="9"/>
  <c r="C73" i="9"/>
  <c r="E72" i="9"/>
  <c r="E71" i="9"/>
  <c r="E70" i="9"/>
  <c r="AG67" i="9"/>
  <c r="AH67" i="9" s="1"/>
  <c r="AH68" i="9" s="1"/>
  <c r="Q67" i="9"/>
  <c r="G67" i="9"/>
  <c r="E67" i="9"/>
  <c r="AI66" i="9"/>
  <c r="AK66" i="9" s="1"/>
  <c r="X66" i="9"/>
  <c r="Z66" i="9" s="1"/>
  <c r="W89" i="9" s="1"/>
  <c r="V66" i="9"/>
  <c r="S66" i="9"/>
  <c r="U66" i="9" s="1"/>
  <c r="R89" i="9" s="1"/>
  <c r="J66" i="9"/>
  <c r="G66" i="9"/>
  <c r="E66" i="9"/>
  <c r="G65" i="9"/>
  <c r="E65" i="9"/>
  <c r="G64" i="9"/>
  <c r="D64" i="9"/>
  <c r="D68" i="9" s="1"/>
  <c r="C64" i="9"/>
  <c r="AG63" i="9"/>
  <c r="AI63" i="9" s="1"/>
  <c r="Q63" i="9"/>
  <c r="E63" i="9"/>
  <c r="AG62" i="9"/>
  <c r="Q62" i="9"/>
  <c r="E62" i="9"/>
  <c r="E61" i="9"/>
  <c r="E64" i="9" s="1"/>
  <c r="AG60" i="9"/>
  <c r="AI60" i="9" s="1"/>
  <c r="AK60" i="9" s="1"/>
  <c r="V60" i="9"/>
  <c r="Q60" i="9"/>
  <c r="G60" i="9"/>
  <c r="E60" i="9"/>
  <c r="AG59" i="9"/>
  <c r="AI59" i="9" s="1"/>
  <c r="AK59" i="9" s="1"/>
  <c r="Q59" i="9"/>
  <c r="V59" i="9" s="1"/>
  <c r="G59" i="9"/>
  <c r="G68" i="9" s="1"/>
  <c r="E59" i="9"/>
  <c r="J56" i="9"/>
  <c r="E56" i="9"/>
  <c r="D52" i="9"/>
  <c r="D51" i="9"/>
  <c r="D50" i="9"/>
  <c r="D49" i="9"/>
  <c r="D48" i="9"/>
  <c r="W46" i="9"/>
  <c r="V46" i="9"/>
  <c r="U46" i="9"/>
  <c r="T46" i="9"/>
  <c r="S46" i="9"/>
  <c r="R46" i="9"/>
  <c r="Q46" i="9"/>
  <c r="P46" i="9"/>
  <c r="H46" i="9"/>
  <c r="S45" i="9"/>
  <c r="N45" i="9"/>
  <c r="W44" i="9"/>
  <c r="W45" i="9" s="1"/>
  <c r="V44" i="9"/>
  <c r="V45" i="9" s="1"/>
  <c r="U44" i="9"/>
  <c r="U45" i="9" s="1"/>
  <c r="T44" i="9"/>
  <c r="T45" i="9" s="1"/>
  <c r="S44" i="9"/>
  <c r="R44" i="9"/>
  <c r="R45" i="9" s="1"/>
  <c r="Q44" i="9"/>
  <c r="Q45" i="9" s="1"/>
  <c r="P44" i="9"/>
  <c r="P45" i="9" s="1"/>
  <c r="W43" i="9"/>
  <c r="V43" i="9"/>
  <c r="U43" i="9"/>
  <c r="T43" i="9"/>
  <c r="S43" i="9"/>
  <c r="R43" i="9"/>
  <c r="Q43" i="9"/>
  <c r="P43" i="9"/>
  <c r="W42" i="9"/>
  <c r="V42" i="9"/>
  <c r="U42" i="9"/>
  <c r="T42" i="9"/>
  <c r="S42" i="9"/>
  <c r="R42" i="9"/>
  <c r="Q42" i="9"/>
  <c r="P42" i="9"/>
  <c r="W41" i="9"/>
  <c r="V41" i="9"/>
  <c r="U41" i="9"/>
  <c r="T41" i="9"/>
  <c r="S41" i="9"/>
  <c r="R41" i="9"/>
  <c r="Q41" i="9"/>
  <c r="P41" i="9"/>
  <c r="H40" i="9"/>
  <c r="H43" i="9" s="1"/>
  <c r="G40" i="9"/>
  <c r="G43" i="9" s="1"/>
  <c r="F40" i="9"/>
  <c r="E40" i="9"/>
  <c r="K39" i="9"/>
  <c r="K40" i="9" s="1"/>
  <c r="J39" i="9"/>
  <c r="J40" i="9" s="1"/>
  <c r="J42" i="9" s="1"/>
  <c r="H39" i="9"/>
  <c r="I39" i="9" s="1"/>
  <c r="G39" i="9"/>
  <c r="F39" i="9"/>
  <c r="E39" i="9"/>
  <c r="H38" i="9"/>
  <c r="F37" i="9"/>
  <c r="I36" i="9"/>
  <c r="H36" i="9"/>
  <c r="E36" i="9"/>
  <c r="F36" i="9" s="1"/>
  <c r="K35" i="9"/>
  <c r="K38" i="9" s="1"/>
  <c r="J35" i="9"/>
  <c r="J36" i="9" s="1"/>
  <c r="F35" i="9"/>
  <c r="G35" i="9" s="1"/>
  <c r="L34" i="9"/>
  <c r="L35" i="9" s="1"/>
  <c r="I34" i="9"/>
  <c r="G34" i="9"/>
  <c r="F34" i="9" s="1"/>
  <c r="E34" i="9" s="1"/>
  <c r="L33" i="9"/>
  <c r="I33" i="9"/>
  <c r="I38" i="9" s="1"/>
  <c r="G33" i="9"/>
  <c r="F33" i="9" s="1"/>
  <c r="E33" i="9" s="1"/>
  <c r="E38" i="9" s="1"/>
  <c r="W16" i="9"/>
  <c r="W15" i="9"/>
  <c r="M15" i="9"/>
  <c r="F67" i="9" s="1"/>
  <c r="P14" i="9"/>
  <c r="P13" i="9" s="1"/>
  <c r="P11" i="9" s="1"/>
  <c r="O14" i="9"/>
  <c r="O13" i="9" s="1"/>
  <c r="O11" i="9" s="1"/>
  <c r="N14" i="9"/>
  <c r="N11" i="9" s="1"/>
  <c r="M14" i="9"/>
  <c r="W13" i="9"/>
  <c r="M13" i="9"/>
  <c r="W12" i="9"/>
  <c r="M12" i="9"/>
  <c r="M11" i="9" s="1"/>
  <c r="W11" i="9"/>
  <c r="V11" i="9"/>
  <c r="W10" i="9"/>
  <c r="X10" i="9" s="1"/>
  <c r="V10" i="9"/>
  <c r="W9" i="9"/>
  <c r="V9" i="9"/>
  <c r="U9" i="9"/>
  <c r="F9" i="9"/>
  <c r="D9" i="9"/>
  <c r="W8" i="9"/>
  <c r="V8" i="9"/>
  <c r="U8" i="9"/>
  <c r="T8" i="9"/>
  <c r="W7" i="9"/>
  <c r="V7" i="9"/>
  <c r="U7" i="9"/>
  <c r="T7" i="9"/>
  <c r="D7" i="9"/>
  <c r="W6" i="9"/>
  <c r="X6" i="9" s="1"/>
  <c r="V6" i="9"/>
  <c r="U6" i="9"/>
  <c r="D6" i="9"/>
  <c r="W5" i="9"/>
  <c r="V5" i="9"/>
  <c r="D5" i="9"/>
  <c r="Q79" i="8"/>
  <c r="E79" i="8"/>
  <c r="D79" i="8"/>
  <c r="U76" i="8"/>
  <c r="S76" i="8"/>
  <c r="R76" i="8"/>
  <c r="I76" i="8"/>
  <c r="H76" i="8"/>
  <c r="J76" i="8" s="1"/>
  <c r="K76" i="8" s="1"/>
  <c r="G76" i="8"/>
  <c r="F76" i="8"/>
  <c r="U75" i="8"/>
  <c r="S75" i="8"/>
  <c r="R75" i="8"/>
  <c r="H75" i="8"/>
  <c r="F75" i="8"/>
  <c r="D75" i="8"/>
  <c r="V74" i="8"/>
  <c r="U74" i="8"/>
  <c r="S74" i="8"/>
  <c r="R74" i="8"/>
  <c r="H74" i="8"/>
  <c r="J74" i="8" s="1"/>
  <c r="F74" i="8"/>
  <c r="H73" i="8"/>
  <c r="H77" i="8" s="1"/>
  <c r="E73" i="8"/>
  <c r="U72" i="8"/>
  <c r="S72" i="8"/>
  <c r="R72" i="8"/>
  <c r="F72" i="8"/>
  <c r="F73" i="8" s="1"/>
  <c r="F77" i="8" s="1"/>
  <c r="U71" i="8"/>
  <c r="U73" i="8" s="1"/>
  <c r="S71" i="8"/>
  <c r="S73" i="8" s="1"/>
  <c r="S77" i="8" s="1"/>
  <c r="R71" i="8"/>
  <c r="R73" i="8" s="1"/>
  <c r="F71" i="8"/>
  <c r="H69" i="8"/>
  <c r="D67" i="8"/>
  <c r="I64" i="8"/>
  <c r="E64" i="8"/>
  <c r="D64" i="8"/>
  <c r="C64" i="8"/>
  <c r="C66" i="8" s="1"/>
  <c r="I63" i="8"/>
  <c r="E63" i="8"/>
  <c r="D63" i="8"/>
  <c r="C63" i="8"/>
  <c r="C67" i="8" s="1"/>
  <c r="I62" i="8"/>
  <c r="E62" i="8"/>
  <c r="D62" i="8"/>
  <c r="C62" i="8"/>
  <c r="J61" i="8"/>
  <c r="J63" i="8" s="1"/>
  <c r="J60" i="8"/>
  <c r="J59" i="8"/>
  <c r="J58" i="8"/>
  <c r="J57" i="8"/>
  <c r="J56" i="8"/>
  <c r="J55" i="8"/>
  <c r="I53" i="8"/>
  <c r="E53" i="8"/>
  <c r="D53" i="8"/>
  <c r="C53" i="8"/>
  <c r="J52" i="8"/>
  <c r="K52" i="8" s="1"/>
  <c r="J51" i="8"/>
  <c r="J50" i="8"/>
  <c r="E48" i="8"/>
  <c r="J47" i="8"/>
  <c r="J46" i="8"/>
  <c r="J45" i="8"/>
  <c r="I44" i="8"/>
  <c r="I48" i="8" s="1"/>
  <c r="E44" i="8"/>
  <c r="E67" i="8" s="1"/>
  <c r="D44" i="8"/>
  <c r="C44" i="8"/>
  <c r="C48" i="8" s="1"/>
  <c r="J43" i="8"/>
  <c r="J42" i="8"/>
  <c r="J41" i="8"/>
  <c r="J40" i="8"/>
  <c r="J39" i="8"/>
  <c r="J36" i="8"/>
  <c r="B34" i="8"/>
  <c r="I33" i="8"/>
  <c r="J33" i="8" s="1"/>
  <c r="B33" i="8"/>
  <c r="I32" i="8"/>
  <c r="J32" i="8" s="1"/>
  <c r="B32" i="8"/>
  <c r="I31" i="8"/>
  <c r="J31" i="8" s="1"/>
  <c r="B31" i="8"/>
  <c r="E28" i="8"/>
  <c r="D28" i="8"/>
  <c r="V27" i="8"/>
  <c r="T27" i="8"/>
  <c r="J27" i="8"/>
  <c r="I27" i="8"/>
  <c r="G27" i="8"/>
  <c r="C27" i="8"/>
  <c r="E25" i="8"/>
  <c r="M23" i="8"/>
  <c r="L23" i="8"/>
  <c r="N23" i="8" s="1"/>
  <c r="I21" i="8"/>
  <c r="J21" i="8" s="1"/>
  <c r="I20" i="8"/>
  <c r="J20" i="8" s="1"/>
  <c r="U19" i="8"/>
  <c r="S19" i="8"/>
  <c r="R19" i="8"/>
  <c r="I19" i="8"/>
  <c r="J19" i="8" s="1"/>
  <c r="F19" i="8"/>
  <c r="U18" i="8"/>
  <c r="S18" i="8"/>
  <c r="R18" i="8"/>
  <c r="I18" i="8"/>
  <c r="J18" i="8" s="1"/>
  <c r="F18" i="8"/>
  <c r="U17" i="8"/>
  <c r="S17" i="8"/>
  <c r="R17" i="8"/>
  <c r="I17" i="8"/>
  <c r="J17" i="8" s="1"/>
  <c r="F17" i="8"/>
  <c r="U16" i="8"/>
  <c r="S16" i="8"/>
  <c r="R16" i="8"/>
  <c r="I16" i="8"/>
  <c r="F16" i="8"/>
  <c r="U15" i="8"/>
  <c r="U27" i="8" s="1"/>
  <c r="S15" i="8"/>
  <c r="S27" i="8" s="1"/>
  <c r="R15" i="8"/>
  <c r="R27" i="8" s="1"/>
  <c r="F15" i="8"/>
  <c r="F27" i="8" s="1"/>
  <c r="U14" i="8"/>
  <c r="S14" i="8"/>
  <c r="R14" i="8"/>
  <c r="J14" i="8"/>
  <c r="F14" i="8"/>
  <c r="E14" i="8"/>
  <c r="I14" i="8" s="1"/>
  <c r="D14" i="8"/>
  <c r="U13" i="8"/>
  <c r="S13" i="8"/>
  <c r="R13" i="8"/>
  <c r="F13" i="8"/>
  <c r="E13" i="8"/>
  <c r="D13" i="8"/>
  <c r="U12" i="8"/>
  <c r="U26" i="8" s="1"/>
  <c r="S12" i="8"/>
  <c r="S26" i="8" s="1"/>
  <c r="R12" i="8"/>
  <c r="R26" i="8" s="1"/>
  <c r="K12" i="8"/>
  <c r="F12" i="8"/>
  <c r="F26" i="8" s="1"/>
  <c r="E12" i="8"/>
  <c r="E26" i="8" s="1"/>
  <c r="D12" i="8"/>
  <c r="D26" i="8" s="1"/>
  <c r="U11" i="8"/>
  <c r="S11" i="8"/>
  <c r="R11" i="8"/>
  <c r="F11" i="8"/>
  <c r="U10" i="8"/>
  <c r="S10" i="8"/>
  <c r="R10" i="8"/>
  <c r="F10" i="8"/>
  <c r="E10" i="8"/>
  <c r="E82" i="8" s="1"/>
  <c r="D10" i="8"/>
  <c r="U9" i="8"/>
  <c r="S9" i="8"/>
  <c r="R9" i="8"/>
  <c r="I9" i="8"/>
  <c r="F9" i="8"/>
  <c r="F25" i="8" s="1"/>
  <c r="E9" i="8"/>
  <c r="J9" i="8" s="1"/>
  <c r="M4" i="8"/>
  <c r="J422" i="8"/>
  <c r="I422" i="8"/>
  <c r="H422" i="8"/>
  <c r="E422" i="8"/>
  <c r="D422" i="8"/>
  <c r="C422" i="8"/>
  <c r="M421" i="8"/>
  <c r="N421" i="8" s="1"/>
  <c r="M420" i="8"/>
  <c r="N419" i="8"/>
  <c r="K419" i="8"/>
  <c r="N418" i="8"/>
  <c r="K418" i="8"/>
  <c r="N417" i="8"/>
  <c r="N416" i="8"/>
  <c r="H21" i="8" s="1"/>
  <c r="N415" i="8"/>
  <c r="H20" i="8" s="1"/>
  <c r="K415" i="8"/>
  <c r="M414" i="8"/>
  <c r="N414" i="8" s="1"/>
  <c r="H19" i="8" s="1"/>
  <c r="M413" i="8"/>
  <c r="N413" i="8" s="1"/>
  <c r="H18" i="8" s="1"/>
  <c r="K413" i="8"/>
  <c r="M412" i="8"/>
  <c r="N412" i="8" s="1"/>
  <c r="H17" i="8" s="1"/>
  <c r="K412" i="8"/>
  <c r="M411" i="8"/>
  <c r="G411" i="8"/>
  <c r="G422" i="8" s="1"/>
  <c r="N410" i="8"/>
  <c r="H15" i="8" s="1"/>
  <c r="H27" i="8" s="1"/>
  <c r="M407" i="8"/>
  <c r="N407" i="8" s="1"/>
  <c r="H12" i="8" s="1"/>
  <c r="H26" i="8" s="1"/>
  <c r="K407" i="8"/>
  <c r="L407" i="8" s="1"/>
  <c r="M406" i="8"/>
  <c r="N406" i="8" s="1"/>
  <c r="H11" i="8" s="1"/>
  <c r="M405" i="8"/>
  <c r="N405" i="8" s="1"/>
  <c r="H10" i="8" s="1"/>
  <c r="M404" i="8"/>
  <c r="N404" i="8" s="1"/>
  <c r="H9" i="8" s="1"/>
  <c r="F390" i="8"/>
  <c r="F389" i="8"/>
  <c r="F388" i="8"/>
  <c r="K423" i="8" s="1"/>
  <c r="C387" i="8"/>
  <c r="F386" i="8"/>
  <c r="F385" i="8"/>
  <c r="F384" i="8"/>
  <c r="E383" i="8"/>
  <c r="E387" i="8" s="1"/>
  <c r="D383" i="8"/>
  <c r="F383" i="8" s="1"/>
  <c r="J345" i="8"/>
  <c r="H343" i="8"/>
  <c r="H342" i="8"/>
  <c r="H335" i="8"/>
  <c r="H326" i="8"/>
  <c r="N319" i="8"/>
  <c r="N345" i="8" s="1"/>
  <c r="M319" i="8"/>
  <c r="M345" i="8" s="1"/>
  <c r="L319" i="8"/>
  <c r="L345" i="8" s="1"/>
  <c r="K319" i="8"/>
  <c r="K345" i="8" s="1"/>
  <c r="G317" i="8"/>
  <c r="F317" i="8"/>
  <c r="E317" i="8"/>
  <c r="C317" i="8"/>
  <c r="G316" i="8"/>
  <c r="F316" i="8"/>
  <c r="E316" i="8"/>
  <c r="C316" i="8"/>
  <c r="G315" i="8"/>
  <c r="F315" i="8"/>
  <c r="E315" i="8"/>
  <c r="C315" i="8"/>
  <c r="G314" i="8"/>
  <c r="F314" i="8"/>
  <c r="E314" i="8"/>
  <c r="C314" i="8"/>
  <c r="G313" i="8"/>
  <c r="F313" i="8"/>
  <c r="E313" i="8"/>
  <c r="C313" i="8"/>
  <c r="G312" i="8"/>
  <c r="F312" i="8"/>
  <c r="E312" i="8"/>
  <c r="C312" i="8"/>
  <c r="G311" i="8"/>
  <c r="F311" i="8"/>
  <c r="E311" i="8"/>
  <c r="C311" i="8"/>
  <c r="G309" i="8"/>
  <c r="F309" i="8"/>
  <c r="E309" i="8"/>
  <c r="C309" i="8"/>
  <c r="G308" i="8"/>
  <c r="G20" i="8" s="1"/>
  <c r="F308" i="8"/>
  <c r="V20" i="8" s="1"/>
  <c r="E308" i="8"/>
  <c r="C20" i="8" s="1"/>
  <c r="C308" i="8"/>
  <c r="G307" i="8"/>
  <c r="G11" i="8" s="1"/>
  <c r="F307" i="8"/>
  <c r="V11" i="8" s="1"/>
  <c r="E307" i="8"/>
  <c r="T11" i="8" s="1"/>
  <c r="C307" i="8"/>
  <c r="G306" i="8"/>
  <c r="G10" i="8" s="1"/>
  <c r="F306" i="8"/>
  <c r="V10" i="8" s="1"/>
  <c r="E306" i="8"/>
  <c r="C10" i="8" s="1"/>
  <c r="C306" i="8"/>
  <c r="G305" i="8"/>
  <c r="G9" i="8" s="1"/>
  <c r="F305" i="8"/>
  <c r="V9" i="8" s="1"/>
  <c r="E305" i="8"/>
  <c r="T9" i="8" s="1"/>
  <c r="C305" i="8"/>
  <c r="G304" i="8"/>
  <c r="G21" i="8" s="1"/>
  <c r="F304" i="8"/>
  <c r="V21" i="8" s="1"/>
  <c r="E304" i="8"/>
  <c r="T21" i="8" s="1"/>
  <c r="C304" i="8"/>
  <c r="G303" i="8"/>
  <c r="G14" i="8" s="1"/>
  <c r="F303" i="8"/>
  <c r="V14" i="8" s="1"/>
  <c r="E303" i="8"/>
  <c r="T14" i="8" s="1"/>
  <c r="C303" i="8"/>
  <c r="G302" i="8"/>
  <c r="G12" i="8" s="1"/>
  <c r="G26" i="8" s="1"/>
  <c r="F302" i="8"/>
  <c r="V12" i="8" s="1"/>
  <c r="V26" i="8" s="1"/>
  <c r="E302" i="8"/>
  <c r="T12" i="8" s="1"/>
  <c r="T26" i="8" s="1"/>
  <c r="C302" i="8"/>
  <c r="G301" i="8"/>
  <c r="G19" i="8" s="1"/>
  <c r="F301" i="8"/>
  <c r="V19" i="8" s="1"/>
  <c r="E301" i="8"/>
  <c r="T19" i="8" s="1"/>
  <c r="C301" i="8"/>
  <c r="G300" i="8"/>
  <c r="G16" i="8" s="1"/>
  <c r="F300" i="8"/>
  <c r="V16" i="8" s="1"/>
  <c r="E300" i="8"/>
  <c r="C16" i="8" s="1"/>
  <c r="C300" i="8"/>
  <c r="G299" i="8"/>
  <c r="G17" i="8" s="1"/>
  <c r="F299" i="8"/>
  <c r="V17" i="8" s="1"/>
  <c r="E299" i="8"/>
  <c r="T17" i="8" s="1"/>
  <c r="C299" i="8"/>
  <c r="G298" i="8"/>
  <c r="G18" i="8" s="1"/>
  <c r="F298" i="8"/>
  <c r="V18" i="8" s="1"/>
  <c r="E298" i="8"/>
  <c r="T18" i="8" s="1"/>
  <c r="C298" i="8"/>
  <c r="N297" i="8"/>
  <c r="M297" i="8"/>
  <c r="L297" i="8"/>
  <c r="K297" i="8"/>
  <c r="G287" i="8"/>
  <c r="G293" i="8" s="1"/>
  <c r="F287" i="8"/>
  <c r="F293" i="8" s="1"/>
  <c r="E287" i="8"/>
  <c r="E293" i="8" s="1"/>
  <c r="G283" i="8"/>
  <c r="O283" i="8" s="1"/>
  <c r="F283" i="8"/>
  <c r="E283" i="8"/>
  <c r="G282" i="8"/>
  <c r="O282" i="8" s="1"/>
  <c r="F282" i="8"/>
  <c r="V76" i="8" s="1"/>
  <c r="E282" i="8"/>
  <c r="T76" i="8" s="1"/>
  <c r="G281" i="8"/>
  <c r="O281" i="8" s="1"/>
  <c r="F281" i="8"/>
  <c r="V72" i="8" s="1"/>
  <c r="E281" i="8"/>
  <c r="C72" i="8" s="1"/>
  <c r="G280" i="8"/>
  <c r="O280" i="8" s="1"/>
  <c r="F280" i="8"/>
  <c r="V71" i="8" s="1"/>
  <c r="E280" i="8"/>
  <c r="T71" i="8" s="1"/>
  <c r="G279" i="8"/>
  <c r="O279" i="8" s="1"/>
  <c r="F279" i="8"/>
  <c r="V75" i="8" s="1"/>
  <c r="E279" i="8"/>
  <c r="T75" i="8" s="1"/>
  <c r="G278" i="8"/>
  <c r="O278" i="8" s="1"/>
  <c r="F278" i="8"/>
  <c r="E278" i="8"/>
  <c r="C74" i="8" s="1"/>
  <c r="H247" i="8"/>
  <c r="F237" i="8"/>
  <c r="E237" i="8"/>
  <c r="D237" i="8"/>
  <c r="F233" i="8"/>
  <c r="E233" i="8"/>
  <c r="K228" i="8"/>
  <c r="K227" i="8"/>
  <c r="K226" i="8"/>
  <c r="K225" i="8"/>
  <c r="H224" i="8"/>
  <c r="Q200" i="8" s="1"/>
  <c r="D224" i="8"/>
  <c r="F223" i="8"/>
  <c r="K223" i="8" s="1"/>
  <c r="J204" i="8" s="1"/>
  <c r="E223" i="8"/>
  <c r="D15" i="8" s="1"/>
  <c r="D27" i="8" s="1"/>
  <c r="F220" i="8"/>
  <c r="E220" i="8"/>
  <c r="F219" i="8"/>
  <c r="E11" i="8" s="1"/>
  <c r="E83" i="8" s="1"/>
  <c r="E219" i="8"/>
  <c r="D11" i="8" s="1"/>
  <c r="K218" i="8"/>
  <c r="J201" i="8" s="1"/>
  <c r="E218" i="8"/>
  <c r="D9" i="8" s="1"/>
  <c r="P217" i="8"/>
  <c r="O217" i="8"/>
  <c r="N217" i="8"/>
  <c r="M217" i="8"/>
  <c r="K217" i="8"/>
  <c r="J203" i="8" s="1"/>
  <c r="J208" i="8"/>
  <c r="N207" i="8"/>
  <c r="M207" i="8"/>
  <c r="N205" i="8"/>
  <c r="N209" i="8" s="1"/>
  <c r="J209" i="8" s="1"/>
  <c r="N201" i="8"/>
  <c r="F201" i="8"/>
  <c r="E75" i="8" s="1"/>
  <c r="I75" i="8" s="1"/>
  <c r="J75" i="8" s="1"/>
  <c r="E201" i="8"/>
  <c r="D201" i="8"/>
  <c r="Q75" i="8" s="1"/>
  <c r="M200" i="8"/>
  <c r="P198" i="8"/>
  <c r="N198" i="8"/>
  <c r="M198" i="8"/>
  <c r="K198" i="8"/>
  <c r="P196" i="8"/>
  <c r="O196" i="8"/>
  <c r="K196" i="8"/>
  <c r="N194" i="8"/>
  <c r="L194" i="8"/>
  <c r="K194" i="8"/>
  <c r="F192" i="8"/>
  <c r="E74" i="8" s="1"/>
  <c r="I74" i="8" s="1"/>
  <c r="E192" i="8"/>
  <c r="D74" i="8" s="1"/>
  <c r="D192" i="8"/>
  <c r="Q74" i="8" s="1"/>
  <c r="F187" i="8"/>
  <c r="E187" i="8"/>
  <c r="D73" i="8" s="1"/>
  <c r="D187" i="8"/>
  <c r="Q73" i="8" s="1"/>
  <c r="J44" i="8" l="1"/>
  <c r="J48" i="8" s="1"/>
  <c r="D318" i="9"/>
  <c r="R358" i="9"/>
  <c r="N358" i="9" s="1"/>
  <c r="R369" i="9"/>
  <c r="D25" i="8"/>
  <c r="D387" i="8"/>
  <c r="D391" i="8" s="1"/>
  <c r="D392" i="8" s="1"/>
  <c r="G55" i="9"/>
  <c r="D86" i="9"/>
  <c r="R348" i="9"/>
  <c r="N348" i="9" s="1"/>
  <c r="R360" i="9"/>
  <c r="N360" i="9" s="1"/>
  <c r="Q77" i="8"/>
  <c r="I12" i="8"/>
  <c r="J12" i="8" s="1"/>
  <c r="J26" i="8" s="1"/>
  <c r="U28" i="8"/>
  <c r="H60" i="9"/>
  <c r="I60" i="9" s="1"/>
  <c r="N60" i="9" s="1"/>
  <c r="P60" i="9" s="1"/>
  <c r="N134" i="9"/>
  <c r="S176" i="9"/>
  <c r="V176" i="9" s="1"/>
  <c r="I183" i="9"/>
  <c r="M188" i="9"/>
  <c r="D305" i="9"/>
  <c r="R365" i="9"/>
  <c r="N365" i="9" s="1"/>
  <c r="D5" i="12"/>
  <c r="D24" i="8"/>
  <c r="R25" i="8"/>
  <c r="F24" i="8"/>
  <c r="R28" i="8"/>
  <c r="M293" i="9"/>
  <c r="AG64" i="9"/>
  <c r="N352" i="9"/>
  <c r="W368" i="9"/>
  <c r="D11" i="13"/>
  <c r="E11" i="13" s="1"/>
  <c r="B13" i="12" s="1"/>
  <c r="K229" i="8"/>
  <c r="G25" i="8"/>
  <c r="G24" i="8"/>
  <c r="S24" i="8"/>
  <c r="D183" i="9"/>
  <c r="R356" i="9"/>
  <c r="N356" i="9" s="1"/>
  <c r="C30" i="11"/>
  <c r="C7" i="12"/>
  <c r="H25" i="8"/>
  <c r="U24" i="8"/>
  <c r="J177" i="9"/>
  <c r="M177" i="9" s="1"/>
  <c r="W348" i="9"/>
  <c r="W354" i="9"/>
  <c r="F20" i="11"/>
  <c r="V24" i="8"/>
  <c r="J35" i="8"/>
  <c r="P212" i="9"/>
  <c r="D246" i="9"/>
  <c r="B246" i="9" s="1"/>
  <c r="D245" i="9"/>
  <c r="P211" i="9"/>
  <c r="K354" i="9"/>
  <c r="M354" i="9" s="1"/>
  <c r="W356" i="9"/>
  <c r="W369" i="9"/>
  <c r="AH84" i="9"/>
  <c r="G160" i="9"/>
  <c r="C280" i="9"/>
  <c r="W350" i="9"/>
  <c r="K350" i="9" s="1"/>
  <c r="M350" i="9" s="1"/>
  <c r="W352" i="9"/>
  <c r="K352" i="9" s="1"/>
  <c r="M352" i="9" s="1"/>
  <c r="R354" i="9"/>
  <c r="N354" i="9" s="1"/>
  <c r="R363" i="9"/>
  <c r="N363" i="9" s="1"/>
  <c r="E224" i="8"/>
  <c r="M422" i="8"/>
  <c r="M424" i="8" s="1"/>
  <c r="S22" i="8"/>
  <c r="U22" i="8"/>
  <c r="E15" i="8"/>
  <c r="I11" i="8" s="1"/>
  <c r="D77" i="8"/>
  <c r="E66" i="8"/>
  <c r="K74" i="8"/>
  <c r="C76" i="8"/>
  <c r="F27" i="11"/>
  <c r="R24" i="8"/>
  <c r="G71" i="8"/>
  <c r="G73" i="8" s="1"/>
  <c r="E81" i="8"/>
  <c r="W19" i="9"/>
  <c r="F44" i="9"/>
  <c r="F45" i="9" s="1"/>
  <c r="I28" i="8"/>
  <c r="M24" i="8"/>
  <c r="R77" i="8"/>
  <c r="J53" i="8"/>
  <c r="J62" i="8"/>
  <c r="E77" i="8"/>
  <c r="S28" i="8"/>
  <c r="I66" i="8"/>
  <c r="U77" i="8"/>
  <c r="S59" i="9"/>
  <c r="U59" i="9" s="1"/>
  <c r="M75" i="9"/>
  <c r="W75" i="9" s="1"/>
  <c r="D24" i="14"/>
  <c r="Q75" i="9"/>
  <c r="J75" i="9" s="1"/>
  <c r="R364" i="9"/>
  <c r="N364" i="9" s="1"/>
  <c r="J270" i="9"/>
  <c r="I331" i="9"/>
  <c r="R357" i="9"/>
  <c r="W362" i="9"/>
  <c r="K362" i="9" s="1"/>
  <c r="M362" i="9" s="1"/>
  <c r="N368" i="9"/>
  <c r="F28" i="8"/>
  <c r="T74" i="8"/>
  <c r="L39" i="9"/>
  <c r="M165" i="9"/>
  <c r="K164" i="9" s="1"/>
  <c r="R353" i="9"/>
  <c r="W363" i="9"/>
  <c r="K363" i="9" s="1"/>
  <c r="M363" i="9" s="1"/>
  <c r="W365" i="9"/>
  <c r="K365" i="9" s="1"/>
  <c r="M365" i="9" s="1"/>
  <c r="G10" i="17"/>
  <c r="D38" i="11"/>
  <c r="K200" i="8"/>
  <c r="J200" i="8" s="1"/>
  <c r="F224" i="8"/>
  <c r="C18" i="8"/>
  <c r="S25" i="8"/>
  <c r="I35" i="8"/>
  <c r="J64" i="8"/>
  <c r="X7" i="9"/>
  <c r="D307" i="9" s="1"/>
  <c r="V73" i="8"/>
  <c r="V77" i="8" s="1"/>
  <c r="K422" i="8"/>
  <c r="U25" i="8"/>
  <c r="R22" i="8"/>
  <c r="D22" i="8"/>
  <c r="I67" i="8"/>
  <c r="J38" i="9"/>
  <c r="K151" i="9"/>
  <c r="J151" i="9" s="1"/>
  <c r="R349" i="9"/>
  <c r="N349" i="9" s="1"/>
  <c r="D42" i="11"/>
  <c r="C45" i="11"/>
  <c r="C92" i="11"/>
  <c r="C91" i="11" s="1"/>
  <c r="H9" i="10"/>
  <c r="C49" i="11"/>
  <c r="F48" i="11" s="1"/>
  <c r="D46" i="11"/>
  <c r="B7" i="12"/>
  <c r="C127" i="11"/>
  <c r="F118" i="11" s="1"/>
  <c r="F125" i="11" s="1"/>
  <c r="B16" i="12"/>
  <c r="E7" i="12"/>
  <c r="B9" i="12"/>
  <c r="L30" i="11"/>
  <c r="C32" i="11"/>
  <c r="L32" i="11" s="1"/>
  <c r="F14" i="11"/>
  <c r="F77" i="11"/>
  <c r="F79" i="11" s="1"/>
  <c r="G35" i="11"/>
  <c r="F15" i="11"/>
  <c r="C34" i="11"/>
  <c r="L34" i="11" s="1"/>
  <c r="L31" i="11"/>
  <c r="E27" i="11"/>
  <c r="G36" i="11"/>
  <c r="J36" i="11" s="1"/>
  <c r="G28" i="8"/>
  <c r="T25" i="8"/>
  <c r="T24" i="8"/>
  <c r="C14" i="8"/>
  <c r="T16" i="8"/>
  <c r="T28" i="8" s="1"/>
  <c r="C11" i="8"/>
  <c r="V22" i="8"/>
  <c r="C19" i="8"/>
  <c r="T20" i="8"/>
  <c r="G72" i="8"/>
  <c r="S367" i="9"/>
  <c r="Y367" i="9" s="1"/>
  <c r="K367" i="9" s="1"/>
  <c r="V28" i="8"/>
  <c r="T10" i="8"/>
  <c r="C17" i="8"/>
  <c r="C28" i="8" s="1"/>
  <c r="C21" i="8"/>
  <c r="V25" i="8"/>
  <c r="G74" i="8"/>
  <c r="C75" i="8"/>
  <c r="X11" i="9"/>
  <c r="C9" i="8"/>
  <c r="C25" i="8" s="1"/>
  <c r="C12" i="8"/>
  <c r="C26" i="8" s="1"/>
  <c r="T72" i="8"/>
  <c r="T73" i="8" s="1"/>
  <c r="W18" i="9"/>
  <c r="J59" i="9"/>
  <c r="E284" i="8"/>
  <c r="O12" i="9"/>
  <c r="X369" i="9"/>
  <c r="J67" i="8"/>
  <c r="C71" i="8"/>
  <c r="C73" i="8" s="1"/>
  <c r="G75" i="8"/>
  <c r="X59" i="9"/>
  <c r="Z59" i="9" s="1"/>
  <c r="R108" i="9"/>
  <c r="R110" i="9"/>
  <c r="R111" i="9"/>
  <c r="C271" i="9"/>
  <c r="M270" i="9"/>
  <c r="H59" i="9"/>
  <c r="I59" i="9" s="1"/>
  <c r="L59" i="9" s="1"/>
  <c r="H71" i="9"/>
  <c r="I71" i="9" s="1"/>
  <c r="W71" i="9" s="1"/>
  <c r="F82" i="9"/>
  <c r="G208" i="9"/>
  <c r="J208" i="9" s="1"/>
  <c r="K208" i="9" s="1"/>
  <c r="N270" i="9"/>
  <c r="R338" i="9"/>
  <c r="F213" i="9"/>
  <c r="F59" i="9"/>
  <c r="F66" i="9"/>
  <c r="F77" i="9"/>
  <c r="H62" i="9"/>
  <c r="H67" i="9"/>
  <c r="H79" i="9"/>
  <c r="F62" i="9"/>
  <c r="C266" i="9"/>
  <c r="H63" i="9"/>
  <c r="W21" i="9"/>
  <c r="E84" i="9"/>
  <c r="G82" i="9"/>
  <c r="G84" i="9" s="1"/>
  <c r="G87" i="9" s="1"/>
  <c r="H81" i="9"/>
  <c r="A83" i="9"/>
  <c r="E89" i="9"/>
  <c r="E91" i="9" s="1"/>
  <c r="X9" i="9"/>
  <c r="H75" i="9"/>
  <c r="C282" i="9"/>
  <c r="X8" i="9"/>
  <c r="D306" i="9" s="1"/>
  <c r="R109" i="9"/>
  <c r="R113" i="9"/>
  <c r="AJ63" i="9"/>
  <c r="AK63" i="9" s="1"/>
  <c r="E44" i="9"/>
  <c r="E45" i="9" s="1"/>
  <c r="E43" i="9"/>
  <c r="E42" i="9"/>
  <c r="E46" i="9"/>
  <c r="AB60" i="9"/>
  <c r="AD60" i="9" s="1"/>
  <c r="N13" i="9"/>
  <c r="N12" i="9" s="1"/>
  <c r="P12" i="9"/>
  <c r="H42" i="9"/>
  <c r="L38" i="9"/>
  <c r="L36" i="9"/>
  <c r="F43" i="9"/>
  <c r="F42" i="9"/>
  <c r="F46" i="9"/>
  <c r="F41" i="9"/>
  <c r="J46" i="9"/>
  <c r="J41" i="9"/>
  <c r="J44" i="9"/>
  <c r="J45" i="9" s="1"/>
  <c r="J43" i="9"/>
  <c r="E41" i="9"/>
  <c r="G44" i="9"/>
  <c r="G45" i="9" s="1"/>
  <c r="W22" i="9"/>
  <c r="W17" i="9"/>
  <c r="W23" i="9" s="1"/>
  <c r="G36" i="9"/>
  <c r="G42" i="9" s="1"/>
  <c r="G41" i="9"/>
  <c r="G38" i="9"/>
  <c r="F38" i="9"/>
  <c r="K46" i="9"/>
  <c r="K41" i="9"/>
  <c r="L40" i="9"/>
  <c r="K44" i="9"/>
  <c r="K45" i="9" s="1"/>
  <c r="I84" i="9"/>
  <c r="J154" i="9"/>
  <c r="H44" i="9"/>
  <c r="H45" i="9" s="1"/>
  <c r="H65" i="9"/>
  <c r="H72" i="9"/>
  <c r="I72" i="9" s="1"/>
  <c r="F83" i="9"/>
  <c r="D244" i="9"/>
  <c r="P210" i="9"/>
  <c r="C115" i="9"/>
  <c r="G89" i="9" s="1"/>
  <c r="G91" i="9" s="1"/>
  <c r="I91" i="9" s="1"/>
  <c r="R112" i="9"/>
  <c r="F80" i="9"/>
  <c r="H78" i="9"/>
  <c r="H77" i="9"/>
  <c r="F75" i="9"/>
  <c r="K36" i="9"/>
  <c r="K42" i="9" s="1"/>
  <c r="X62" i="9"/>
  <c r="Q64" i="9"/>
  <c r="X63" i="9"/>
  <c r="V63" i="9"/>
  <c r="J63" i="9"/>
  <c r="F64" i="9"/>
  <c r="I62" i="9" s="1"/>
  <c r="R91" i="9"/>
  <c r="R92" i="9"/>
  <c r="W14" i="9"/>
  <c r="W20" i="9" s="1"/>
  <c r="I40" i="9"/>
  <c r="H41" i="9"/>
  <c r="G46" i="9"/>
  <c r="S62" i="9"/>
  <c r="AI62" i="9"/>
  <c r="S63" i="9"/>
  <c r="AI67" i="9"/>
  <c r="AK67" i="9" s="1"/>
  <c r="AI75" i="9"/>
  <c r="F76" i="9"/>
  <c r="V76" i="9" s="1"/>
  <c r="F78" i="9"/>
  <c r="H80" i="9"/>
  <c r="H82" i="9"/>
  <c r="E88" i="9"/>
  <c r="H83" i="9"/>
  <c r="H64" i="9"/>
  <c r="E68" i="9"/>
  <c r="E86" i="9" s="1"/>
  <c r="W92" i="9"/>
  <c r="W91" i="9"/>
  <c r="K37" i="9"/>
  <c r="L37" i="9" s="1"/>
  <c r="X60" i="9"/>
  <c r="Z60" i="9" s="1"/>
  <c r="F15" i="9" s="1"/>
  <c r="J60" i="9"/>
  <c r="S60" i="9"/>
  <c r="U60" i="9" s="1"/>
  <c r="E15" i="9" s="1"/>
  <c r="V62" i="9"/>
  <c r="V67" i="9"/>
  <c r="W67" i="9" s="1"/>
  <c r="J67" i="9"/>
  <c r="R67" i="9"/>
  <c r="R68" i="9" s="1"/>
  <c r="C68" i="9"/>
  <c r="E73" i="9"/>
  <c r="H73" i="9" s="1"/>
  <c r="H70" i="9"/>
  <c r="I70" i="9" s="1"/>
  <c r="H76" i="9"/>
  <c r="F81" i="9"/>
  <c r="K162" i="9"/>
  <c r="K163" i="9" s="1"/>
  <c r="J163" i="9"/>
  <c r="H179" i="9"/>
  <c r="J179" i="9" s="1"/>
  <c r="M179" i="9" s="1"/>
  <c r="K155" i="9" s="1"/>
  <c r="J155" i="9"/>
  <c r="F288" i="9"/>
  <c r="S240" i="9"/>
  <c r="S249" i="9" s="1"/>
  <c r="F61" i="9"/>
  <c r="F72" i="9"/>
  <c r="G72" i="9" s="1"/>
  <c r="F71" i="9"/>
  <c r="G71" i="9" s="1"/>
  <c r="F65" i="9"/>
  <c r="F60" i="9"/>
  <c r="H61" i="9"/>
  <c r="I61" i="9" s="1"/>
  <c r="J62" i="9"/>
  <c r="F63" i="9"/>
  <c r="AI64" i="9"/>
  <c r="H66" i="9"/>
  <c r="F70" i="9"/>
  <c r="F79" i="9"/>
  <c r="J238" i="9"/>
  <c r="I238" i="9" s="1"/>
  <c r="I240" i="9" s="1"/>
  <c r="I216" i="9"/>
  <c r="R181" i="9"/>
  <c r="D247" i="9"/>
  <c r="B247" i="9" s="1"/>
  <c r="P213" i="9"/>
  <c r="J363" i="9"/>
  <c r="J370" i="9" s="1"/>
  <c r="C379" i="9"/>
  <c r="H363" i="9"/>
  <c r="I330" i="9" s="1"/>
  <c r="C370" i="9"/>
  <c r="J172" i="9"/>
  <c r="I213" i="9"/>
  <c r="I214" i="9" s="1"/>
  <c r="F237" i="9"/>
  <c r="E237" i="9" s="1"/>
  <c r="E236" i="9"/>
  <c r="O238" i="9"/>
  <c r="N249" i="9"/>
  <c r="N250" i="9" s="1"/>
  <c r="I332" i="9"/>
  <c r="X362" i="9"/>
  <c r="Z362" i="9" s="1"/>
  <c r="L362" i="9"/>
  <c r="V362" i="9" s="1"/>
  <c r="N75" i="9"/>
  <c r="C86" i="9"/>
  <c r="K172" i="9"/>
  <c r="H178" i="9"/>
  <c r="E183" i="9"/>
  <c r="E197" i="9" s="1"/>
  <c r="G237" i="9"/>
  <c r="G238" i="9" s="1"/>
  <c r="K207" i="9"/>
  <c r="N214" i="9"/>
  <c r="N215" i="9" s="1"/>
  <c r="X350" i="9"/>
  <c r="Z350" i="9" s="1"/>
  <c r="L350" i="9"/>
  <c r="V350" i="9" s="1"/>
  <c r="X354" i="9"/>
  <c r="Z354" i="9" s="1"/>
  <c r="L354" i="9"/>
  <c r="V354" i="9" s="1"/>
  <c r="X358" i="9"/>
  <c r="Z358" i="9" s="1"/>
  <c r="L358" i="9"/>
  <c r="V358" i="9" s="1"/>
  <c r="K134" i="9"/>
  <c r="E172" i="9"/>
  <c r="K209" i="9"/>
  <c r="K237" i="9"/>
  <c r="K238" i="9" s="1"/>
  <c r="K240" i="9" s="1"/>
  <c r="D280" i="9"/>
  <c r="M214" i="9"/>
  <c r="M215" i="9" s="1"/>
  <c r="P253" i="9"/>
  <c r="V347" i="9"/>
  <c r="D243" i="9"/>
  <c r="B243" i="9" s="1"/>
  <c r="P209" i="9"/>
  <c r="N263" i="9"/>
  <c r="D266" i="9"/>
  <c r="M280" i="9"/>
  <c r="W347" i="9"/>
  <c r="O370" i="9"/>
  <c r="R347" i="9"/>
  <c r="N347" i="9" s="1"/>
  <c r="W355" i="9"/>
  <c r="R355" i="9"/>
  <c r="N355" i="9" s="1"/>
  <c r="R362" i="9"/>
  <c r="N362" i="9" s="1"/>
  <c r="X365" i="9"/>
  <c r="Z365" i="9" s="1"/>
  <c r="L365" i="9"/>
  <c r="V365" i="9" s="1"/>
  <c r="W351" i="9"/>
  <c r="R351" i="9"/>
  <c r="N351" i="9" s="1"/>
  <c r="M249" i="9"/>
  <c r="M250" i="9" s="1"/>
  <c r="D282" i="9"/>
  <c r="N357" i="9"/>
  <c r="W366" i="9"/>
  <c r="K366" i="9" s="1"/>
  <c r="M366" i="9" s="1"/>
  <c r="R366" i="9"/>
  <c r="N366" i="9" s="1"/>
  <c r="O245" i="9"/>
  <c r="M266" i="9"/>
  <c r="E264" i="9"/>
  <c r="N293" i="9"/>
  <c r="L293" i="9"/>
  <c r="J293" i="9"/>
  <c r="D281" i="9"/>
  <c r="H293" i="9"/>
  <c r="K368" i="9"/>
  <c r="M368" i="9" s="1"/>
  <c r="X368" i="9"/>
  <c r="Z368" i="9" s="1"/>
  <c r="S369" i="9"/>
  <c r="Y369" i="9" s="1"/>
  <c r="K369" i="9" s="1"/>
  <c r="O240" i="9"/>
  <c r="L292" i="9"/>
  <c r="I292" i="9"/>
  <c r="H292" i="9"/>
  <c r="D320" i="9"/>
  <c r="D321" i="9" s="1"/>
  <c r="N72" i="9" s="1"/>
  <c r="K348" i="9"/>
  <c r="M348" i="9" s="1"/>
  <c r="K356" i="9"/>
  <c r="M356" i="9" s="1"/>
  <c r="K358" i="9"/>
  <c r="M358" i="9" s="1"/>
  <c r="X367" i="9"/>
  <c r="K147" i="9"/>
  <c r="D271" i="9"/>
  <c r="J292" i="9"/>
  <c r="I370" i="9"/>
  <c r="N353" i="9"/>
  <c r="W359" i="9"/>
  <c r="R359" i="9"/>
  <c r="N361" i="9"/>
  <c r="E245" i="9"/>
  <c r="M230" i="9" s="1"/>
  <c r="M292" i="9"/>
  <c r="D291" i="9"/>
  <c r="X348" i="9"/>
  <c r="Z348" i="9" s="1"/>
  <c r="X356" i="9"/>
  <c r="Z356" i="9" s="1"/>
  <c r="X360" i="9"/>
  <c r="Z360" i="9" s="1"/>
  <c r="W364" i="9"/>
  <c r="K364" i="9" s="1"/>
  <c r="M364" i="9" s="1"/>
  <c r="H270" i="9"/>
  <c r="P270" i="9"/>
  <c r="W349" i="9"/>
  <c r="W353" i="9"/>
  <c r="W357" i="9"/>
  <c r="W361" i="9"/>
  <c r="D298" i="9"/>
  <c r="J66" i="8"/>
  <c r="I81" i="8"/>
  <c r="J16" i="8"/>
  <c r="J28" i="8" s="1"/>
  <c r="F22" i="8"/>
  <c r="I26" i="8"/>
  <c r="E24" i="8"/>
  <c r="I13" i="8"/>
  <c r="D47" i="8"/>
  <c r="D48" i="8" s="1"/>
  <c r="D66" i="8" s="1"/>
  <c r="I73" i="8"/>
  <c r="G22" i="8"/>
  <c r="J13" i="8"/>
  <c r="F409" i="8"/>
  <c r="N409" i="8" s="1"/>
  <c r="H14" i="8" s="1"/>
  <c r="F408" i="8"/>
  <c r="N408" i="8" s="1"/>
  <c r="H13" i="8" s="1"/>
  <c r="H24" i="8" s="1"/>
  <c r="E391" i="8"/>
  <c r="E392" i="8" s="1"/>
  <c r="F238" i="8"/>
  <c r="N411" i="8"/>
  <c r="H16" i="8" s="1"/>
  <c r="H28" i="8" s="1"/>
  <c r="K220" i="8"/>
  <c r="J202" i="8" s="1"/>
  <c r="J205" i="8" s="1"/>
  <c r="K411" i="8"/>
  <c r="N143" i="9" l="1"/>
  <c r="N162" i="9" s="1"/>
  <c r="N166" i="9" s="1"/>
  <c r="J206" i="8"/>
  <c r="S183" i="9"/>
  <c r="N144" i="9" s="1"/>
  <c r="N163" i="9" s="1"/>
  <c r="N165" i="9" s="1"/>
  <c r="K165" i="9" s="1"/>
  <c r="L60" i="9"/>
  <c r="F392" i="8"/>
  <c r="F387" i="8"/>
  <c r="F391" i="8" s="1"/>
  <c r="K67" i="8"/>
  <c r="I83" i="8"/>
  <c r="J11" i="8"/>
  <c r="J24" i="8" s="1"/>
  <c r="I10" i="8"/>
  <c r="E22" i="8"/>
  <c r="I24" i="8"/>
  <c r="O206" i="9"/>
  <c r="P206" i="9" s="1"/>
  <c r="Z367" i="9"/>
  <c r="X352" i="9"/>
  <c r="Z352" i="9" s="1"/>
  <c r="X75" i="9"/>
  <c r="Z75" i="9" s="1"/>
  <c r="G20" i="17"/>
  <c r="N367" i="9"/>
  <c r="T77" i="8"/>
  <c r="E84" i="8"/>
  <c r="E86" i="8" s="1"/>
  <c r="E27" i="8"/>
  <c r="G10" i="19"/>
  <c r="G10" i="18"/>
  <c r="H22" i="8"/>
  <c r="I63" i="9"/>
  <c r="C77" i="8"/>
  <c r="T22" i="8"/>
  <c r="L36" i="11"/>
  <c r="M36" i="11"/>
  <c r="G15" i="11"/>
  <c r="L20" i="17"/>
  <c r="C50" i="11"/>
  <c r="D51" i="11" s="1"/>
  <c r="D45" i="11"/>
  <c r="J35" i="11"/>
  <c r="M35" i="11" s="1"/>
  <c r="G37" i="11"/>
  <c r="C37" i="11"/>
  <c r="I56" i="11"/>
  <c r="G77" i="8"/>
  <c r="J213" i="9"/>
  <c r="X71" i="9"/>
  <c r="Z71" i="9" s="1"/>
  <c r="L71" i="9"/>
  <c r="Q71" i="9" s="1"/>
  <c r="N59" i="9"/>
  <c r="P59" i="9" s="1"/>
  <c r="AB59" i="9" s="1"/>
  <c r="AD59" i="9" s="1"/>
  <c r="G213" i="9"/>
  <c r="E93" i="9"/>
  <c r="H370" i="9"/>
  <c r="H379" i="9" s="1"/>
  <c r="S67" i="9"/>
  <c r="U67" i="9" s="1"/>
  <c r="AA71" i="9"/>
  <c r="AB71" i="9" s="1"/>
  <c r="AG71" i="9" s="1"/>
  <c r="AH71" i="9" s="1"/>
  <c r="AI71" i="9" s="1"/>
  <c r="AK71" i="9" s="1"/>
  <c r="C22" i="8"/>
  <c r="C24" i="8"/>
  <c r="N369" i="9"/>
  <c r="E92" i="9"/>
  <c r="I67" i="9"/>
  <c r="L67" i="9" s="1"/>
  <c r="H84" i="9"/>
  <c r="C284" i="9"/>
  <c r="Z369" i="9"/>
  <c r="I65" i="9"/>
  <c r="N65" i="9" s="1"/>
  <c r="P65" i="9" s="1"/>
  <c r="M90" i="9" s="1"/>
  <c r="I288" i="9"/>
  <c r="J158" i="9"/>
  <c r="J159" i="9" s="1"/>
  <c r="J160" i="9" s="1"/>
  <c r="K154" i="9"/>
  <c r="K158" i="9" s="1"/>
  <c r="L44" i="9"/>
  <c r="L45" i="9" s="1"/>
  <c r="L43" i="9"/>
  <c r="L42" i="9"/>
  <c r="L41" i="9"/>
  <c r="L46" i="9"/>
  <c r="N62" i="9"/>
  <c r="L62" i="9"/>
  <c r="AB62" i="9"/>
  <c r="I291" i="9"/>
  <c r="I294" i="9" s="1"/>
  <c r="H291" i="9"/>
  <c r="H294" i="9" s="1"/>
  <c r="H295" i="9" s="1"/>
  <c r="H296" i="9" s="1"/>
  <c r="N291" i="9"/>
  <c r="N294" i="9" s="1"/>
  <c r="M291" i="9"/>
  <c r="M294" i="9" s="1"/>
  <c r="L291" i="9"/>
  <c r="L294" i="9" s="1"/>
  <c r="L295" i="9" s="1"/>
  <c r="L296" i="9" s="1"/>
  <c r="D294" i="9"/>
  <c r="J291" i="9"/>
  <c r="J294" i="9" s="1"/>
  <c r="J295" i="9" s="1"/>
  <c r="J296" i="9" s="1"/>
  <c r="P72" i="9"/>
  <c r="N93" i="9" s="1"/>
  <c r="N95" i="9" s="1"/>
  <c r="X72" i="9"/>
  <c r="Z72" i="9" s="1"/>
  <c r="X93" i="9" s="1"/>
  <c r="X95" i="9" s="1"/>
  <c r="S72" i="9"/>
  <c r="U72" i="9" s="1"/>
  <c r="S93" i="9" s="1"/>
  <c r="S95" i="9" s="1"/>
  <c r="B231" i="9"/>
  <c r="D284" i="9"/>
  <c r="E263" i="9"/>
  <c r="N266" i="9"/>
  <c r="X364" i="9"/>
  <c r="Z364" i="9" s="1"/>
  <c r="K166" i="9"/>
  <c r="L72" i="9"/>
  <c r="I85" i="9"/>
  <c r="I82" i="9"/>
  <c r="I83" i="9"/>
  <c r="L84" i="9"/>
  <c r="I230" i="9"/>
  <c r="I274" i="9" s="1"/>
  <c r="P230" i="9"/>
  <c r="P274" i="9" s="1"/>
  <c r="H230" i="9"/>
  <c r="H274" i="9" s="1"/>
  <c r="N230" i="9"/>
  <c r="N274" i="9" s="1"/>
  <c r="F230" i="9"/>
  <c r="L230" i="9"/>
  <c r="L274" i="9" s="1"/>
  <c r="K230" i="9"/>
  <c r="K274" i="9" s="1"/>
  <c r="J230" i="9"/>
  <c r="J274" i="9" s="1"/>
  <c r="G230" i="9"/>
  <c r="G274" i="9" s="1"/>
  <c r="O274" i="9"/>
  <c r="O230" i="9"/>
  <c r="G303" i="9"/>
  <c r="AB61" i="9"/>
  <c r="N61" i="9"/>
  <c r="P61" i="9" s="1"/>
  <c r="L61" i="9"/>
  <c r="Q61" i="9" s="1"/>
  <c r="S251" i="9"/>
  <c r="S238" i="9"/>
  <c r="K351" i="9"/>
  <c r="M351" i="9" s="1"/>
  <c r="X351" i="9"/>
  <c r="Z351" i="9" s="1"/>
  <c r="K288" i="9"/>
  <c r="E238" i="9"/>
  <c r="G240" i="9"/>
  <c r="O250" i="9"/>
  <c r="O253" i="9"/>
  <c r="W68" i="9"/>
  <c r="X67" i="9"/>
  <c r="Z67" i="9" s="1"/>
  <c r="W94" i="9"/>
  <c r="S64" i="9"/>
  <c r="J64" i="9"/>
  <c r="X64" i="9"/>
  <c r="V64" i="9"/>
  <c r="Q238" i="9"/>
  <c r="J226" i="9" s="1"/>
  <c r="N63" i="9"/>
  <c r="L63" i="9"/>
  <c r="AB63" i="9"/>
  <c r="K355" i="9"/>
  <c r="M355" i="9" s="1"/>
  <c r="X355" i="9"/>
  <c r="Z355" i="9" s="1"/>
  <c r="P75" i="9"/>
  <c r="AA75" i="9"/>
  <c r="T63" i="9"/>
  <c r="U63" i="9" s="1"/>
  <c r="X361" i="9"/>
  <c r="Z361" i="9" s="1"/>
  <c r="K361" i="9"/>
  <c r="M361" i="9" s="1"/>
  <c r="X357" i="9"/>
  <c r="Z357" i="9" s="1"/>
  <c r="K357" i="9"/>
  <c r="M357" i="9" s="1"/>
  <c r="S359" i="9"/>
  <c r="Y359" i="9" s="1"/>
  <c r="Y370" i="9" s="1"/>
  <c r="W370" i="9"/>
  <c r="K347" i="9"/>
  <c r="X347" i="9"/>
  <c r="N164" i="9"/>
  <c r="R94" i="9"/>
  <c r="X359" i="9"/>
  <c r="O214" i="9"/>
  <c r="O215" i="9" s="1"/>
  <c r="G70" i="9"/>
  <c r="F73" i="9"/>
  <c r="G73" i="9" s="1"/>
  <c r="G86" i="9" s="1"/>
  <c r="F289" i="9"/>
  <c r="W70" i="9"/>
  <c r="X70" i="9" s="1"/>
  <c r="AA70" i="9"/>
  <c r="I73" i="9"/>
  <c r="L73" i="9" s="1"/>
  <c r="L70" i="9"/>
  <c r="K43" i="9"/>
  <c r="X353" i="9"/>
  <c r="Z353" i="9" s="1"/>
  <c r="K353" i="9"/>
  <c r="M353" i="9" s="1"/>
  <c r="O288" i="9"/>
  <c r="X349" i="9"/>
  <c r="Z349" i="9" s="1"/>
  <c r="K349" i="9"/>
  <c r="M349" i="9" s="1"/>
  <c r="X366" i="9"/>
  <c r="Z366" i="9" s="1"/>
  <c r="J178" i="9"/>
  <c r="H183" i="9"/>
  <c r="L363" i="9"/>
  <c r="V363" i="9" s="1"/>
  <c r="X363" i="9"/>
  <c r="Z363" i="9" s="1"/>
  <c r="I66" i="9"/>
  <c r="H68" i="9"/>
  <c r="I64" i="9"/>
  <c r="AK75" i="9"/>
  <c r="I46" i="9"/>
  <c r="I42" i="9"/>
  <c r="I41" i="9"/>
  <c r="I44" i="9"/>
  <c r="I45" i="9" s="1"/>
  <c r="I43" i="9"/>
  <c r="F68" i="9"/>
  <c r="F84" i="9"/>
  <c r="M183" i="9"/>
  <c r="I77" i="8"/>
  <c r="J73" i="8"/>
  <c r="J77" i="8" s="1"/>
  <c r="K77" i="8" s="1"/>
  <c r="K224" i="8"/>
  <c r="N422" i="8"/>
  <c r="H85" i="9" l="1"/>
  <c r="H87" i="9"/>
  <c r="L10" i="17"/>
  <c r="D240" i="9"/>
  <c r="AD71" i="9"/>
  <c r="L10" i="18"/>
  <c r="L10" i="19"/>
  <c r="F49" i="11"/>
  <c r="I40" i="11" s="1"/>
  <c r="J40" i="11" s="1"/>
  <c r="J10" i="8"/>
  <c r="I82" i="8"/>
  <c r="I86" i="8" s="1"/>
  <c r="I25" i="8"/>
  <c r="I22" i="8"/>
  <c r="J23" i="8" s="1"/>
  <c r="G11" i="19"/>
  <c r="G21" i="17"/>
  <c r="G11" i="17"/>
  <c r="G11" i="18"/>
  <c r="I57" i="11"/>
  <c r="G9" i="10"/>
  <c r="I9" i="10" s="1"/>
  <c r="J37" i="11"/>
  <c r="M37" i="11" s="1"/>
  <c r="L35" i="11"/>
  <c r="M71" i="9"/>
  <c r="N71" i="9" s="1"/>
  <c r="P71" i="9" s="1"/>
  <c r="AB65" i="9"/>
  <c r="AG65" i="9" s="1"/>
  <c r="AI65" i="9" s="1"/>
  <c r="AK65" i="9" s="1"/>
  <c r="L65" i="9"/>
  <c r="Q65" i="9" s="1"/>
  <c r="X65" i="9" s="1"/>
  <c r="Z65" i="9" s="1"/>
  <c r="W90" i="9" s="1"/>
  <c r="L370" i="9"/>
  <c r="V370" i="9" s="1"/>
  <c r="X73" i="9"/>
  <c r="Z70" i="9"/>
  <c r="Z73" i="9" s="1"/>
  <c r="J165" i="9"/>
  <c r="J166" i="9" s="1"/>
  <c r="O163" i="9"/>
  <c r="P226" i="9"/>
  <c r="L226" i="9"/>
  <c r="H226" i="9"/>
  <c r="Q72" i="9"/>
  <c r="M72" i="9"/>
  <c r="AA72" i="9" s="1"/>
  <c r="AB72" i="9" s="1"/>
  <c r="H86" i="9"/>
  <c r="M178" i="9"/>
  <c r="J183" i="9"/>
  <c r="AB70" i="9"/>
  <c r="N359" i="9"/>
  <c r="V71" i="9"/>
  <c r="R71" i="9"/>
  <c r="S71" i="9" s="1"/>
  <c r="U71" i="9" s="1"/>
  <c r="J71" i="9"/>
  <c r="AB75" i="9"/>
  <c r="R75" i="9"/>
  <c r="S61" i="9"/>
  <c r="U61" i="9" s="1"/>
  <c r="X61" i="9"/>
  <c r="Z61" i="9" s="1"/>
  <c r="V61" i="9"/>
  <c r="J61" i="9"/>
  <c r="F87" i="9"/>
  <c r="F86" i="9"/>
  <c r="Z64" i="9"/>
  <c r="AG61" i="9"/>
  <c r="AD61" i="9"/>
  <c r="AB64" i="9"/>
  <c r="I68" i="9"/>
  <c r="I87" i="9" s="1"/>
  <c r="L64" i="9"/>
  <c r="N64" i="9"/>
  <c r="J246" i="9"/>
  <c r="J247" i="9"/>
  <c r="G304" i="9"/>
  <c r="G305" i="9" s="1"/>
  <c r="G307" i="9"/>
  <c r="G306" i="9"/>
  <c r="D312" i="9" s="1"/>
  <c r="I80" i="9"/>
  <c r="I76" i="9"/>
  <c r="L82" i="9"/>
  <c r="I78" i="9"/>
  <c r="I79" i="9"/>
  <c r="I77" i="9"/>
  <c r="P90" i="9"/>
  <c r="D10" i="9" s="1"/>
  <c r="N66" i="9"/>
  <c r="P66" i="9" s="1"/>
  <c r="M89" i="9" s="1"/>
  <c r="AB66" i="9"/>
  <c r="AD66" i="9" s="1"/>
  <c r="AA89" i="9" s="1"/>
  <c r="L66" i="9"/>
  <c r="X370" i="9"/>
  <c r="Z347" i="9"/>
  <c r="G288" i="9"/>
  <c r="E240" i="9"/>
  <c r="N282" i="9"/>
  <c r="F274" i="9"/>
  <c r="I86" i="9"/>
  <c r="L86" i="9" s="1"/>
  <c r="M67" i="9"/>
  <c r="AA67" i="9"/>
  <c r="I88" i="9"/>
  <c r="L83" i="9"/>
  <c r="I81" i="9"/>
  <c r="E230" i="9"/>
  <c r="K145" i="9"/>
  <c r="K146" i="9"/>
  <c r="K138" i="9" s="1"/>
  <c r="M70" i="9"/>
  <c r="Q70" i="9"/>
  <c r="Z359" i="9"/>
  <c r="M347" i="9"/>
  <c r="M370" i="9" s="1"/>
  <c r="O289" i="9"/>
  <c r="K359" i="9"/>
  <c r="K370" i="9" s="1"/>
  <c r="L21" i="17" l="1"/>
  <c r="AD65" i="9"/>
  <c r="AA90" i="9" s="1"/>
  <c r="E11" i="19"/>
  <c r="E21" i="17"/>
  <c r="E11" i="17"/>
  <c r="E11" i="18"/>
  <c r="B14" i="12"/>
  <c r="B15" i="12" s="1"/>
  <c r="D15" i="12" s="1"/>
  <c r="F50" i="11"/>
  <c r="G46" i="11" s="1"/>
  <c r="L11" i="19"/>
  <c r="L11" i="17"/>
  <c r="L11" i="18"/>
  <c r="Q68" i="9"/>
  <c r="J68" i="9" s="1"/>
  <c r="S65" i="9"/>
  <c r="U65" i="9" s="1"/>
  <c r="R90" i="9" s="1"/>
  <c r="U90" i="9" s="1"/>
  <c r="E10" i="9" s="1"/>
  <c r="J25" i="8"/>
  <c r="J22" i="8"/>
  <c r="K22" i="8" s="1"/>
  <c r="V65" i="9"/>
  <c r="E10" i="18"/>
  <c r="E10" i="19"/>
  <c r="E20" i="17"/>
  <c r="E10" i="17"/>
  <c r="AA73" i="9"/>
  <c r="L68" i="9"/>
  <c r="J65" i="9"/>
  <c r="V68" i="9"/>
  <c r="F225" i="9"/>
  <c r="K225" i="9"/>
  <c r="I225" i="9"/>
  <c r="O225" i="9"/>
  <c r="E274" i="9"/>
  <c r="Z370" i="9"/>
  <c r="G14" i="9"/>
  <c r="F14" i="9"/>
  <c r="D14" i="9"/>
  <c r="AG70" i="9"/>
  <c r="AD70" i="9"/>
  <c r="AB73" i="9"/>
  <c r="L247" i="9"/>
  <c r="L246" i="9"/>
  <c r="L81" i="9"/>
  <c r="L80" i="9"/>
  <c r="H247" i="9"/>
  <c r="H246" i="9"/>
  <c r="E226" i="9"/>
  <c r="N280" i="9"/>
  <c r="AI61" i="9"/>
  <c r="AG68" i="9"/>
  <c r="P247" i="9"/>
  <c r="P246" i="9"/>
  <c r="K148" i="9"/>
  <c r="K149" i="9" s="1"/>
  <c r="L138" i="9"/>
  <c r="L148" i="9" s="1"/>
  <c r="L149" i="9" s="1"/>
  <c r="K152" i="9"/>
  <c r="J152" i="9" s="1"/>
  <c r="K159" i="9" s="1"/>
  <c r="K160" i="9" s="1"/>
  <c r="G225" i="9"/>
  <c r="L78" i="9"/>
  <c r="Z90" i="9"/>
  <c r="W96" i="9"/>
  <c r="S75" i="9"/>
  <c r="AG72" i="9"/>
  <c r="AD72" i="9"/>
  <c r="R182" i="9"/>
  <c r="N182" i="9" s="1"/>
  <c r="R179" i="9"/>
  <c r="N179" i="9" s="1"/>
  <c r="R178" i="9"/>
  <c r="N178" i="9" s="1"/>
  <c r="R177" i="9"/>
  <c r="V83" i="9"/>
  <c r="Q83" i="9"/>
  <c r="J83" i="9" s="1"/>
  <c r="L79" i="9"/>
  <c r="AA68" i="9"/>
  <c r="AB67" i="9"/>
  <c r="AD67" i="9" s="1"/>
  <c r="E288" i="9"/>
  <c r="AA91" i="9"/>
  <c r="AA96" i="9" s="1"/>
  <c r="AA92" i="9"/>
  <c r="Q82" i="9"/>
  <c r="J82" i="9" s="1"/>
  <c r="V82" i="9"/>
  <c r="AD90" i="9"/>
  <c r="G10" i="9" s="1"/>
  <c r="AD75" i="9"/>
  <c r="AG75" i="9"/>
  <c r="J72" i="9"/>
  <c r="R72" i="9"/>
  <c r="V72" i="9"/>
  <c r="W72" i="9" s="1"/>
  <c r="W73" i="9" s="1"/>
  <c r="Q73" i="9"/>
  <c r="J73" i="9" s="1"/>
  <c r="J70" i="9"/>
  <c r="R70" i="9"/>
  <c r="V70" i="9"/>
  <c r="L77" i="9"/>
  <c r="M73" i="9"/>
  <c r="N70" i="9"/>
  <c r="X68" i="9"/>
  <c r="M68" i="9"/>
  <c r="N67" i="9"/>
  <c r="P67" i="9" s="1"/>
  <c r="M92" i="9"/>
  <c r="M91" i="9"/>
  <c r="AB76" i="9"/>
  <c r="N76" i="9"/>
  <c r="L76" i="9"/>
  <c r="Q76" i="9" s="1"/>
  <c r="S68" i="9" l="1"/>
  <c r="R96" i="9"/>
  <c r="N68" i="9"/>
  <c r="AD73" i="9"/>
  <c r="AB68" i="9"/>
  <c r="R183" i="9"/>
  <c r="N177" i="9"/>
  <c r="N183" i="9" s="1"/>
  <c r="R185" i="9"/>
  <c r="AK61" i="9"/>
  <c r="AI68" i="9"/>
  <c r="E247" i="9"/>
  <c r="H232" i="9" s="1"/>
  <c r="Q247" i="9"/>
  <c r="AG76" i="9"/>
  <c r="AD76" i="9"/>
  <c r="AC89" i="9" s="1"/>
  <c r="M77" i="9"/>
  <c r="V77" i="9"/>
  <c r="Q77" i="9"/>
  <c r="U75" i="9"/>
  <c r="G279" i="9"/>
  <c r="G275" i="9"/>
  <c r="G243" i="9"/>
  <c r="G261" i="9"/>
  <c r="G260" i="9"/>
  <c r="G227" i="9"/>
  <c r="G270" i="9"/>
  <c r="M94" i="9"/>
  <c r="V73" i="9"/>
  <c r="AA94" i="9"/>
  <c r="R73" i="9"/>
  <c r="S70" i="9"/>
  <c r="V81" i="9"/>
  <c r="W81" i="9" s="1"/>
  <c r="M81" i="9"/>
  <c r="Q81" i="9"/>
  <c r="I275" i="9"/>
  <c r="I243" i="9"/>
  <c r="I279" i="9"/>
  <c r="I260" i="9"/>
  <c r="I261" i="9"/>
  <c r="I270" i="9"/>
  <c r="M96" i="9"/>
  <c r="M80" i="9"/>
  <c r="V80" i="9"/>
  <c r="Q80" i="9"/>
  <c r="AG73" i="9"/>
  <c r="AH70" i="9"/>
  <c r="X76" i="9"/>
  <c r="AI76" i="9"/>
  <c r="J76" i="9"/>
  <c r="S76" i="9"/>
  <c r="U76" i="9" s="1"/>
  <c r="T89" i="9" s="1"/>
  <c r="AB93" i="9"/>
  <c r="AB95" i="9" s="1"/>
  <c r="AI72" i="9"/>
  <c r="AK72" i="9" s="1"/>
  <c r="M78" i="9"/>
  <c r="V78" i="9"/>
  <c r="Q78" i="9"/>
  <c r="P232" i="9"/>
  <c r="K279" i="9"/>
  <c r="K275" i="9"/>
  <c r="K227" i="9"/>
  <c r="K243" i="9"/>
  <c r="K260" i="9"/>
  <c r="K270" i="9"/>
  <c r="K261" i="9"/>
  <c r="Q79" i="9"/>
  <c r="M79" i="9"/>
  <c r="V79" i="9"/>
  <c r="O279" i="9"/>
  <c r="O275" i="9"/>
  <c r="O227" i="9"/>
  <c r="O243" i="9"/>
  <c r="O260" i="9"/>
  <c r="O261" i="9"/>
  <c r="O270" i="9"/>
  <c r="P76" i="9"/>
  <c r="N73" i="9"/>
  <c r="P70" i="9"/>
  <c r="P73" i="9" s="1"/>
  <c r="Q246" i="9"/>
  <c r="E246" i="9"/>
  <c r="L231" i="9" s="1"/>
  <c r="L269" i="9" s="1"/>
  <c r="E14" i="9"/>
  <c r="F279" i="9"/>
  <c r="F270" i="9"/>
  <c r="F275" i="9"/>
  <c r="F227" i="9"/>
  <c r="F243" i="9"/>
  <c r="E225" i="9"/>
  <c r="F261" i="9"/>
  <c r="F260" i="9"/>
  <c r="O281" i="9" l="1"/>
  <c r="E261" i="9"/>
  <c r="K266" i="9"/>
  <c r="G266" i="9"/>
  <c r="Q84" i="9"/>
  <c r="Q86" i="9" s="1"/>
  <c r="J86" i="9" s="1"/>
  <c r="J84" i="9"/>
  <c r="J87" i="9" s="1"/>
  <c r="F281" i="9"/>
  <c r="E279" i="9"/>
  <c r="O293" i="9"/>
  <c r="O292" i="9"/>
  <c r="O291" i="9"/>
  <c r="P268" i="9"/>
  <c r="P276" i="9"/>
  <c r="I241" i="9"/>
  <c r="H268" i="9"/>
  <c r="H276" i="9"/>
  <c r="F266" i="9"/>
  <c r="E260" i="9"/>
  <c r="E262" i="9" s="1"/>
  <c r="E266" i="9" s="1"/>
  <c r="O244" i="9"/>
  <c r="O242" i="9"/>
  <c r="O282" i="9"/>
  <c r="AI78" i="9"/>
  <c r="AK78" i="9" s="1"/>
  <c r="J78" i="9"/>
  <c r="T92" i="9"/>
  <c r="T91" i="9"/>
  <c r="U89" i="9"/>
  <c r="W80" i="9"/>
  <c r="X80" i="9" s="1"/>
  <c r="Z80" i="9" s="1"/>
  <c r="AA80" i="9"/>
  <c r="N80" i="9"/>
  <c r="P80" i="9" s="1"/>
  <c r="I242" i="9"/>
  <c r="I244" i="9"/>
  <c r="I282" i="9"/>
  <c r="G293" i="9"/>
  <c r="G292" i="9"/>
  <c r="G291" i="9"/>
  <c r="AI77" i="9"/>
  <c r="AK77" i="9" s="1"/>
  <c r="J77" i="9"/>
  <c r="N232" i="9"/>
  <c r="N268" i="9" s="1"/>
  <c r="F232" i="9"/>
  <c r="M232" i="9"/>
  <c r="M268" i="9" s="1"/>
  <c r="K232" i="9"/>
  <c r="K268" i="9" s="1"/>
  <c r="I232" i="9"/>
  <c r="I268" i="9" s="1"/>
  <c r="O232" i="9"/>
  <c r="O268" i="9" s="1"/>
  <c r="G232" i="9"/>
  <c r="G268" i="9" s="1"/>
  <c r="J232" i="9"/>
  <c r="K241" i="9"/>
  <c r="K231" i="9"/>
  <c r="K269" i="9" s="1"/>
  <c r="O231" i="9"/>
  <c r="O269" i="9" s="1"/>
  <c r="G231" i="9"/>
  <c r="G269" i="9" s="1"/>
  <c r="N231" i="9"/>
  <c r="N269" i="9" s="1"/>
  <c r="F231" i="9"/>
  <c r="M231" i="9"/>
  <c r="M269" i="9" s="1"/>
  <c r="I231" i="9"/>
  <c r="I269" i="9" s="1"/>
  <c r="J231" i="9"/>
  <c r="J269" i="9" s="1"/>
  <c r="Z76" i="9"/>
  <c r="G241" i="9"/>
  <c r="AC92" i="9"/>
  <c r="AC91" i="9"/>
  <c r="AD89" i="9"/>
  <c r="V84" i="9"/>
  <c r="V86" i="9" s="1"/>
  <c r="O89" i="9"/>
  <c r="W77" i="9"/>
  <c r="AA77" i="9"/>
  <c r="M84" i="9"/>
  <c r="M86" i="9" s="1"/>
  <c r="N77" i="9"/>
  <c r="K244" i="9"/>
  <c r="K242" i="9"/>
  <c r="K282" i="9"/>
  <c r="G244" i="9"/>
  <c r="G242" i="9"/>
  <c r="G282" i="9"/>
  <c r="X81" i="9"/>
  <c r="Z81" i="9" s="1"/>
  <c r="Y93" i="9" s="1"/>
  <c r="J81" i="9"/>
  <c r="AI81" i="9"/>
  <c r="AK81" i="9" s="1"/>
  <c r="AK76" i="9"/>
  <c r="AA79" i="9"/>
  <c r="W79" i="9"/>
  <c r="N79" i="9"/>
  <c r="P79" i="9" s="1"/>
  <c r="H231" i="9"/>
  <c r="H269" i="9" s="1"/>
  <c r="X79" i="9"/>
  <c r="Z79" i="9" s="1"/>
  <c r="AI79" i="9"/>
  <c r="AK79" i="9" s="1"/>
  <c r="J79" i="9"/>
  <c r="AI70" i="9"/>
  <c r="F242" i="9"/>
  <c r="E275" i="9"/>
  <c r="O266" i="9"/>
  <c r="K281" i="9"/>
  <c r="I266" i="9"/>
  <c r="G281" i="9"/>
  <c r="L232" i="9"/>
  <c r="W78" i="9"/>
  <c r="X78" i="9" s="1"/>
  <c r="Z78" i="9" s="1"/>
  <c r="AA78" i="9"/>
  <c r="N78" i="9"/>
  <c r="P78" i="9" s="1"/>
  <c r="AA81" i="9"/>
  <c r="N81" i="9"/>
  <c r="P81" i="9" s="1"/>
  <c r="O93" i="9" s="1"/>
  <c r="F241" i="9"/>
  <c r="E243" i="9"/>
  <c r="K292" i="9"/>
  <c r="K293" i="9"/>
  <c r="K291" i="9"/>
  <c r="F293" i="9"/>
  <c r="F291" i="9"/>
  <c r="E227" i="9"/>
  <c r="F292" i="9"/>
  <c r="P231" i="9"/>
  <c r="P269" i="9" s="1"/>
  <c r="E270" i="9"/>
  <c r="R270" i="9" s="1"/>
  <c r="AH72" i="9"/>
  <c r="AH73" i="9" s="1"/>
  <c r="AH86" i="9" s="1"/>
  <c r="O241" i="9"/>
  <c r="AI80" i="9"/>
  <c r="AK80" i="9" s="1"/>
  <c r="J80" i="9"/>
  <c r="I281" i="9"/>
  <c r="U70" i="9"/>
  <c r="U73" i="9" s="1"/>
  <c r="S73" i="9"/>
  <c r="O271" i="9" l="1"/>
  <c r="W84" i="9"/>
  <c r="W86" i="9" s="1"/>
  <c r="E292" i="9"/>
  <c r="M271" i="9"/>
  <c r="M251" i="9" s="1"/>
  <c r="R79" i="9"/>
  <c r="S79" i="9" s="1"/>
  <c r="U79" i="9" s="1"/>
  <c r="AB79" i="9"/>
  <c r="P77" i="9"/>
  <c r="P84" i="9" s="1"/>
  <c r="N84" i="9"/>
  <c r="N86" i="9" s="1"/>
  <c r="I280" i="9"/>
  <c r="AI84" i="9"/>
  <c r="G249" i="9"/>
  <c r="G250" i="9" s="1"/>
  <c r="AC96" i="9"/>
  <c r="AD96" i="9" s="1"/>
  <c r="AD91" i="9"/>
  <c r="G11" i="9" s="1"/>
  <c r="I271" i="9"/>
  <c r="I284" i="9" s="1"/>
  <c r="X77" i="9"/>
  <c r="I249" i="9"/>
  <c r="I250" i="9" s="1"/>
  <c r="H248" i="9"/>
  <c r="H244" i="9"/>
  <c r="H282" i="9"/>
  <c r="P271" i="9"/>
  <c r="J228" i="9"/>
  <c r="P228" i="9"/>
  <c r="H228" i="9"/>
  <c r="M228" i="9"/>
  <c r="L228" i="9"/>
  <c r="N228" i="9"/>
  <c r="R78" i="9"/>
  <c r="S78" i="9" s="1"/>
  <c r="U78" i="9" s="1"/>
  <c r="AB78" i="9"/>
  <c r="T94" i="9"/>
  <c r="U94" i="9" s="1"/>
  <c r="U92" i="9"/>
  <c r="E12" i="9" s="1"/>
  <c r="E16" i="9" s="1"/>
  <c r="E17" i="9" s="1"/>
  <c r="Q266" i="9"/>
  <c r="P244" i="9"/>
  <c r="P248" i="9"/>
  <c r="P282" i="9"/>
  <c r="F228" i="9"/>
  <c r="L268" i="9"/>
  <c r="L271" i="9" s="1"/>
  <c r="L276" i="9"/>
  <c r="O251" i="9"/>
  <c r="AK84" i="9"/>
  <c r="R77" i="9"/>
  <c r="AA84" i="9"/>
  <c r="AA86" i="9" s="1"/>
  <c r="AB77" i="9"/>
  <c r="AC94" i="9"/>
  <c r="AD94" i="9" s="1"/>
  <c r="AD92" i="9"/>
  <c r="G12" i="9" s="1"/>
  <c r="G16" i="9" s="1"/>
  <c r="G17" i="9" s="1"/>
  <c r="F269" i="9"/>
  <c r="E269" i="9" s="1"/>
  <c r="E231" i="9"/>
  <c r="K228" i="9"/>
  <c r="K271" i="9"/>
  <c r="K251" i="9" s="1"/>
  <c r="G294" i="9"/>
  <c r="H271" i="9"/>
  <c r="O294" i="9"/>
  <c r="O295" i="9" s="1"/>
  <c r="O296" i="9" s="1"/>
  <c r="E291" i="9"/>
  <c r="F294" i="9"/>
  <c r="Q269" i="9"/>
  <c r="K280" i="9"/>
  <c r="O92" i="9"/>
  <c r="O91" i="9"/>
  <c r="P89" i="9"/>
  <c r="N271" i="9"/>
  <c r="O284" i="9"/>
  <c r="O280" i="9"/>
  <c r="P320" i="9"/>
  <c r="R279" i="9"/>
  <c r="E241" i="9"/>
  <c r="E232" i="9"/>
  <c r="F276" i="9"/>
  <c r="F268" i="9"/>
  <c r="R80" i="9"/>
  <c r="S80" i="9" s="1"/>
  <c r="U80" i="9" s="1"/>
  <c r="AB80" i="9"/>
  <c r="O228" i="9"/>
  <c r="R81" i="9"/>
  <c r="S81" i="9" s="1"/>
  <c r="U81" i="9" s="1"/>
  <c r="T93" i="9" s="1"/>
  <c r="AB81" i="9"/>
  <c r="E242" i="9"/>
  <c r="Y89" i="9"/>
  <c r="J276" i="9"/>
  <c r="J268" i="9"/>
  <c r="J271" i="9" s="1"/>
  <c r="I228" i="9"/>
  <c r="E281" i="9"/>
  <c r="P319" i="9" s="1"/>
  <c r="P321" i="9"/>
  <c r="R275" i="9"/>
  <c r="G228" i="9"/>
  <c r="E293" i="9"/>
  <c r="K294" i="9"/>
  <c r="AI73" i="9"/>
  <c r="AK70" i="9"/>
  <c r="AK73" i="9" s="1"/>
  <c r="G280" i="9"/>
  <c r="K249" i="9"/>
  <c r="K250" i="9" s="1"/>
  <c r="G271" i="9"/>
  <c r="G251" i="9" s="1"/>
  <c r="T96" i="9"/>
  <c r="U96" i="9" s="1"/>
  <c r="U91" i="9"/>
  <c r="E11" i="9" s="1"/>
  <c r="O249" i="9"/>
  <c r="O252" i="9" s="1"/>
  <c r="Q276" i="9" l="1"/>
  <c r="M284" i="9"/>
  <c r="E20" i="9"/>
  <c r="E18" i="9"/>
  <c r="E24" i="9"/>
  <c r="E25" i="9"/>
  <c r="E21" i="9"/>
  <c r="E22" i="9"/>
  <c r="E19" i="9"/>
  <c r="G25" i="9"/>
  <c r="G18" i="9"/>
  <c r="G20" i="9"/>
  <c r="G21" i="9"/>
  <c r="G19" i="9"/>
  <c r="G24" i="9"/>
  <c r="G22" i="9"/>
  <c r="H251" i="9"/>
  <c r="AI86" i="9"/>
  <c r="I251" i="9"/>
  <c r="I252" i="9" s="1"/>
  <c r="Y92" i="9"/>
  <c r="Y91" i="9"/>
  <c r="Z89" i="9"/>
  <c r="M252" i="9"/>
  <c r="M253" i="9"/>
  <c r="M289" i="9" s="1"/>
  <c r="M295" i="9" s="1"/>
  <c r="M296" i="9" s="1"/>
  <c r="P251" i="9"/>
  <c r="G284" i="9"/>
  <c r="N251" i="9"/>
  <c r="N284" i="9"/>
  <c r="E294" i="9"/>
  <c r="F295" i="9"/>
  <c r="K253" i="9"/>
  <c r="K289" i="9" s="1"/>
  <c r="K295" i="9" s="1"/>
  <c r="K296" i="9" s="1"/>
  <c r="K252" i="9"/>
  <c r="R84" i="9"/>
  <c r="R86" i="9" s="1"/>
  <c r="S77" i="9"/>
  <c r="P249" i="9"/>
  <c r="P252" i="9" s="1"/>
  <c r="H280" i="9"/>
  <c r="H284" i="9"/>
  <c r="AG81" i="9"/>
  <c r="AD81" i="9"/>
  <c r="AC93" i="9" s="1"/>
  <c r="AC95" i="9" s="1"/>
  <c r="H249" i="9"/>
  <c r="H250" i="9" s="1"/>
  <c r="E268" i="9"/>
  <c r="E271" i="9" s="1"/>
  <c r="F271" i="9"/>
  <c r="AD77" i="9"/>
  <c r="AG77" i="9"/>
  <c r="AB84" i="9"/>
  <c r="AB86" i="9" s="1"/>
  <c r="Z77" i="9"/>
  <c r="Z84" i="9" s="1"/>
  <c r="X84" i="9"/>
  <c r="X86" i="9" s="1"/>
  <c r="I253" i="9"/>
  <c r="I289" i="9" s="1"/>
  <c r="I295" i="9" s="1"/>
  <c r="I296" i="9" s="1"/>
  <c r="E276" i="9"/>
  <c r="F244" i="9"/>
  <c r="F282" i="9"/>
  <c r="T95" i="9"/>
  <c r="O96" i="9"/>
  <c r="P96" i="9" s="1"/>
  <c r="P91" i="9"/>
  <c r="D11" i="9" s="1"/>
  <c r="H253" i="9"/>
  <c r="P280" i="9"/>
  <c r="P284" i="9"/>
  <c r="G252" i="9"/>
  <c r="G253" i="9"/>
  <c r="G289" i="9" s="1"/>
  <c r="P322" i="9"/>
  <c r="O94" i="9"/>
  <c r="P92" i="9"/>
  <c r="D12" i="9" s="1"/>
  <c r="D16" i="9" s="1"/>
  <c r="D17" i="9" s="1"/>
  <c r="L248" i="9"/>
  <c r="L244" i="9"/>
  <c r="L282" i="9"/>
  <c r="L251" i="9" s="1"/>
  <c r="J248" i="9"/>
  <c r="J244" i="9"/>
  <c r="Q244" i="9" s="1"/>
  <c r="J282" i="9"/>
  <c r="J251" i="9" s="1"/>
  <c r="AG80" i="9"/>
  <c r="AD80" i="9"/>
  <c r="AG79" i="9"/>
  <c r="AD79" i="9"/>
  <c r="K284" i="9"/>
  <c r="Q268" i="9"/>
  <c r="E228" i="9"/>
  <c r="AG78" i="9"/>
  <c r="AD78" i="9"/>
  <c r="F303" i="9" l="1"/>
  <c r="Q248" i="9"/>
  <c r="D19" i="9"/>
  <c r="D23" i="9"/>
  <c r="D45" i="9" s="1"/>
  <c r="O45" i="9" s="1"/>
  <c r="D20" i="9"/>
  <c r="D22" i="9"/>
  <c r="D24" i="9"/>
  <c r="D21" i="9"/>
  <c r="D25" i="9"/>
  <c r="D18" i="9"/>
  <c r="Q249" i="9"/>
  <c r="E282" i="9"/>
  <c r="P323" i="9" s="1"/>
  <c r="G26" i="9"/>
  <c r="G28" i="9"/>
  <c r="G29" i="9" s="1"/>
  <c r="G27" i="9"/>
  <c r="E26" i="9"/>
  <c r="E27" i="9"/>
  <c r="E28" i="9"/>
  <c r="E29" i="9" s="1"/>
  <c r="H252" i="9"/>
  <c r="E248" i="9"/>
  <c r="P94" i="9"/>
  <c r="O95" i="9"/>
  <c r="Y96" i="9"/>
  <c r="Z96" i="9" s="1"/>
  <c r="F13" i="9" s="1"/>
  <c r="Z91" i="9"/>
  <c r="L253" i="9"/>
  <c r="J253" i="9"/>
  <c r="N253" i="9"/>
  <c r="N289" i="9" s="1"/>
  <c r="N295" i="9" s="1"/>
  <c r="N296" i="9" s="1"/>
  <c r="N252" i="9"/>
  <c r="G295" i="9"/>
  <c r="G296" i="9" s="1"/>
  <c r="F284" i="9"/>
  <c r="F280" i="9"/>
  <c r="Q282" i="9"/>
  <c r="U77" i="9"/>
  <c r="U84" i="9" s="1"/>
  <c r="S84" i="9"/>
  <c r="S86" i="9" s="1"/>
  <c r="J284" i="9"/>
  <c r="J280" i="9"/>
  <c r="L280" i="9"/>
  <c r="L284" i="9"/>
  <c r="E244" i="9"/>
  <c r="F249" i="9"/>
  <c r="AG84" i="9"/>
  <c r="AG86" i="9" s="1"/>
  <c r="L249" i="9"/>
  <c r="L250" i="9" s="1"/>
  <c r="J249" i="9"/>
  <c r="J250" i="9" s="1"/>
  <c r="E284" i="9"/>
  <c r="AD84" i="9"/>
  <c r="F304" i="9"/>
  <c r="H303" i="9"/>
  <c r="F307" i="9"/>
  <c r="H307" i="9" s="1"/>
  <c r="F306" i="9"/>
  <c r="H306" i="9" s="1"/>
  <c r="Q271" i="9"/>
  <c r="F251" i="9"/>
  <c r="F296" i="9"/>
  <c r="Q251" i="9"/>
  <c r="Y94" i="9"/>
  <c r="Z92" i="9"/>
  <c r="P324" i="9" l="1"/>
  <c r="E52" i="9"/>
  <c r="F52" i="9" s="1"/>
  <c r="G52" i="9" s="1"/>
  <c r="H52" i="9" s="1"/>
  <c r="D46" i="9"/>
  <c r="J252" i="9"/>
  <c r="D44" i="9"/>
  <c r="E51" i="9"/>
  <c r="F51" i="9" s="1"/>
  <c r="G51" i="9" s="1"/>
  <c r="H51" i="9" s="1"/>
  <c r="D43" i="9"/>
  <c r="E50" i="9"/>
  <c r="F50" i="9" s="1"/>
  <c r="G50" i="9" s="1"/>
  <c r="H50" i="9" s="1"/>
  <c r="D26" i="9"/>
  <c r="D28" i="9"/>
  <c r="D29" i="9" s="1"/>
  <c r="D27" i="9"/>
  <c r="D42" i="9"/>
  <c r="E49" i="9"/>
  <c r="F49" i="9" s="1"/>
  <c r="G49" i="9" s="1"/>
  <c r="H49" i="9" s="1"/>
  <c r="E295" i="9"/>
  <c r="E48" i="9"/>
  <c r="F48" i="9" s="1"/>
  <c r="G48" i="9" s="1"/>
  <c r="H48" i="9" s="1"/>
  <c r="D41" i="9"/>
  <c r="E296" i="9"/>
  <c r="E304" i="9" s="1"/>
  <c r="E305" i="9" s="1"/>
  <c r="D311" i="9" s="1"/>
  <c r="O64" i="9" s="1"/>
  <c r="E280" i="9"/>
  <c r="E289" i="9"/>
  <c r="N229" i="9"/>
  <c r="M229" i="9"/>
  <c r="I229" i="9"/>
  <c r="G229" i="9"/>
  <c r="O229" i="9"/>
  <c r="K229" i="9"/>
  <c r="P229" i="9"/>
  <c r="H229" i="9"/>
  <c r="F229" i="9"/>
  <c r="L252" i="9"/>
  <c r="Z94" i="9"/>
  <c r="F11" i="9" s="1"/>
  <c r="Y95" i="9"/>
  <c r="L229" i="9"/>
  <c r="J229" i="9"/>
  <c r="F305" i="9"/>
  <c r="H305" i="9" s="1"/>
  <c r="H304" i="9"/>
  <c r="F253" i="9"/>
  <c r="E251" i="9"/>
  <c r="F252" i="9"/>
  <c r="E303" i="9"/>
  <c r="E299" i="9"/>
  <c r="E249" i="9"/>
  <c r="E250" i="9" s="1"/>
  <c r="F250" i="9"/>
  <c r="J50" i="9" l="1"/>
  <c r="I50" i="9"/>
  <c r="K50" i="9" s="1"/>
  <c r="I48" i="9"/>
  <c r="K48" i="9" s="1"/>
  <c r="J48" i="9"/>
  <c r="J51" i="9"/>
  <c r="I51" i="9"/>
  <c r="K51" i="9" s="1"/>
  <c r="S296" i="9"/>
  <c r="J49" i="9"/>
  <c r="I49" i="9"/>
  <c r="K49" i="9" s="1"/>
  <c r="E300" i="9"/>
  <c r="I52" i="9"/>
  <c r="K52" i="9" s="1"/>
  <c r="J52" i="9"/>
  <c r="D296" i="9"/>
  <c r="E252" i="9"/>
  <c r="E253" i="9"/>
  <c r="E306" i="9"/>
  <c r="E307" i="9"/>
  <c r="T64" i="9"/>
  <c r="AC64" i="9"/>
  <c r="AJ64" i="9"/>
  <c r="O62" i="9"/>
  <c r="O63" i="9"/>
  <c r="P64" i="9"/>
  <c r="E229" i="9"/>
  <c r="O68" i="9" l="1"/>
  <c r="O86" i="9" s="1"/>
  <c r="O52" i="9"/>
  <c r="O46" i="9" s="1"/>
  <c r="L52" i="9"/>
  <c r="P52" i="9" s="1"/>
  <c r="Q52" i="9" s="1"/>
  <c r="O48" i="9"/>
  <c r="O41" i="9" s="1"/>
  <c r="L48" i="9"/>
  <c r="P48" i="9" s="1"/>
  <c r="Q48" i="9" s="1"/>
  <c r="R48" i="9" s="1"/>
  <c r="S48" i="9" s="1"/>
  <c r="T48" i="9" s="1"/>
  <c r="U48" i="9" s="1"/>
  <c r="V48" i="9" s="1"/>
  <c r="W48" i="9" s="1"/>
  <c r="O50" i="9"/>
  <c r="O43" i="9" s="1"/>
  <c r="L50" i="9"/>
  <c r="P50" i="9" s="1"/>
  <c r="Q50" i="9" s="1"/>
  <c r="R50" i="9" s="1"/>
  <c r="S50" i="9" s="1"/>
  <c r="T50" i="9" s="1"/>
  <c r="U50" i="9" s="1"/>
  <c r="V50" i="9" s="1"/>
  <c r="W50" i="9" s="1"/>
  <c r="O51" i="9"/>
  <c r="O44" i="9" s="1"/>
  <c r="L51" i="9"/>
  <c r="P51" i="9" s="1"/>
  <c r="Q51" i="9" s="1"/>
  <c r="R51" i="9" s="1"/>
  <c r="S51" i="9" s="1"/>
  <c r="T51" i="9" s="1"/>
  <c r="U51" i="9" s="1"/>
  <c r="V51" i="9" s="1"/>
  <c r="W51" i="9" s="1"/>
  <c r="O49" i="9"/>
  <c r="O42" i="9" s="1"/>
  <c r="L49" i="9"/>
  <c r="P49" i="9" s="1"/>
  <c r="Q49" i="9" s="1"/>
  <c r="R49" i="9" s="1"/>
  <c r="S49" i="9" s="1"/>
  <c r="T49" i="9" s="1"/>
  <c r="U49" i="9" s="1"/>
  <c r="V49" i="9" s="1"/>
  <c r="W49" i="9" s="1"/>
  <c r="AD64" i="9"/>
  <c r="T62" i="9"/>
  <c r="U62" i="9" s="1"/>
  <c r="R93" i="9" s="1"/>
  <c r="T68" i="9"/>
  <c r="T86" i="9" s="1"/>
  <c r="U64" i="9"/>
  <c r="U68" i="9" s="1"/>
  <c r="U86" i="9" s="1"/>
  <c r="AJ62" i="9"/>
  <c r="AK62" i="9" s="1"/>
  <c r="AK64" i="9"/>
  <c r="AC63" i="9"/>
  <c r="AD63" i="9" s="1"/>
  <c r="Y63" i="9"/>
  <c r="Z63" i="9" s="1"/>
  <c r="P63" i="9"/>
  <c r="Y62" i="9"/>
  <c r="AC62" i="9"/>
  <c r="AD62" i="9" s="1"/>
  <c r="AA93" i="9" s="1"/>
  <c r="P62" i="9"/>
  <c r="M93" i="9" s="1"/>
  <c r="R52" i="9" l="1"/>
  <c r="S52" i="9" s="1"/>
  <c r="T52" i="9" s="1"/>
  <c r="U52" i="9" s="1"/>
  <c r="V52" i="9" s="1"/>
  <c r="W52" i="9" s="1"/>
  <c r="E9" i="9"/>
  <c r="AK68" i="9"/>
  <c r="AK86" i="9" s="1"/>
  <c r="M95" i="9"/>
  <c r="P95" i="9" s="1"/>
  <c r="P93" i="9"/>
  <c r="D13" i="9" s="1"/>
  <c r="AJ68" i="9"/>
  <c r="AJ86" i="9" s="1"/>
  <c r="Y68" i="9"/>
  <c r="Y86" i="9" s="1"/>
  <c r="Z62" i="9"/>
  <c r="AD93" i="9"/>
  <c r="G13" i="9" s="1"/>
  <c r="AA95" i="9"/>
  <c r="AD95" i="9" s="1"/>
  <c r="U93" i="9"/>
  <c r="E13" i="9" s="1"/>
  <c r="R95" i="9"/>
  <c r="U95" i="9" s="1"/>
  <c r="AD68" i="9"/>
  <c r="AD86" i="9" s="1"/>
  <c r="P68" i="9"/>
  <c r="P86" i="9" s="1"/>
  <c r="AC68" i="9"/>
  <c r="AC86" i="9" s="1"/>
  <c r="W93" i="9" l="1"/>
  <c r="Z68" i="9"/>
  <c r="Z86" i="9" s="1"/>
  <c r="W95" i="9" l="1"/>
  <c r="Z95" i="9" s="1"/>
  <c r="F12" i="9" s="1"/>
  <c r="F16" i="9" s="1"/>
  <c r="F17" i="9" s="1"/>
  <c r="Z93" i="9"/>
  <c r="F10" i="9" s="1"/>
  <c r="F24" i="9" l="1"/>
  <c r="F22" i="9"/>
  <c r="F20" i="9"/>
  <c r="F25" i="9"/>
  <c r="F21" i="9"/>
  <c r="F19" i="9"/>
  <c r="F18" i="9"/>
  <c r="F27" i="9" l="1"/>
  <c r="F28" i="9"/>
  <c r="F29" i="9" s="1"/>
  <c r="F26" i="9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Alle Werte in PJ</t>
        </r>
      </text>
    </comment>
    <comment ref="K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L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M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N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O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P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Alle Werte in PJ</t>
        </r>
      </text>
    </comment>
  </commentList>
</comments>
</file>

<file path=xl/sharedStrings.xml><?xml version="1.0" encoding="utf-8"?>
<sst xmlns="http://schemas.openxmlformats.org/spreadsheetml/2006/main" count="1832" uniqueCount="708">
  <si>
    <t>Wasserkraft</t>
  </si>
  <si>
    <t>Photovoltaik</t>
  </si>
  <si>
    <t>Windenergie</t>
  </si>
  <si>
    <t>Solarthermie</t>
  </si>
  <si>
    <t>Oberflächennahe Umweltwärme</t>
  </si>
  <si>
    <t>Biomasse</t>
  </si>
  <si>
    <t>tiefe Geothermie</t>
  </si>
  <si>
    <t>Methanisierung</t>
  </si>
  <si>
    <t>Energieflussbild erneuerbares Österreich 2050</t>
  </si>
  <si>
    <t>Summe</t>
  </si>
  <si>
    <t>Primärenergieerzeugung [GWh]</t>
  </si>
  <si>
    <t>Gebäude</t>
  </si>
  <si>
    <t>Strom</t>
  </si>
  <si>
    <t>Gesamt</t>
  </si>
  <si>
    <t>Gas</t>
  </si>
  <si>
    <t>Gesamtsumme</t>
  </si>
  <si>
    <t>Industrie</t>
  </si>
  <si>
    <t>Wärmepumpe Heizen</t>
  </si>
  <si>
    <t xml:space="preserve">Wärme </t>
  </si>
  <si>
    <t>Verluste</t>
  </si>
  <si>
    <t>Mobilität</t>
  </si>
  <si>
    <t>Wärme WP [GWh]</t>
  </si>
  <si>
    <t>Wärme &lt;100 [GWh]</t>
  </si>
  <si>
    <t>Wärme &gt;100 [GWh]</t>
  </si>
  <si>
    <t>Gas Mobilität [GWh]</t>
  </si>
  <si>
    <t>Kraftstoffe [GWh]</t>
  </si>
  <si>
    <t>Gas Wärme &gt;100 [GWh]</t>
  </si>
  <si>
    <t>Wärme &gt;100</t>
  </si>
  <si>
    <t>Methanisierungswirkungsgrad</t>
  </si>
  <si>
    <t>Output</t>
  </si>
  <si>
    <t>Kraftstoffe</t>
  </si>
  <si>
    <t>Wärme HT</t>
  </si>
  <si>
    <t>Wärme NT</t>
  </si>
  <si>
    <t>Differenz/Verluste</t>
  </si>
  <si>
    <t>Verkehr</t>
  </si>
  <si>
    <t xml:space="preserve">mit Übertrag tGeo </t>
  </si>
  <si>
    <t>Übertrag Verkehr</t>
  </si>
  <si>
    <t>Zwischensumme</t>
  </si>
  <si>
    <t>Technisches Potenzial [GWh]</t>
  </si>
  <si>
    <t>Endenergieverbrauch [GWh]</t>
  </si>
  <si>
    <t>Gas gesamt</t>
  </si>
  <si>
    <t>Gas f Wärme</t>
  </si>
  <si>
    <t>Gas für Mobilität</t>
  </si>
  <si>
    <t>Kraftstoffe gesamt</t>
  </si>
  <si>
    <t>Kraftstoffe für Mobilität</t>
  </si>
  <si>
    <t>Vergleich</t>
  </si>
  <si>
    <t>Primärenergieverbrauch [GWh] (Brutto)</t>
  </si>
  <si>
    <t>Verluste lokal</t>
  </si>
  <si>
    <t>Verluste zentral</t>
  </si>
  <si>
    <t>Elektrizität zentral</t>
  </si>
  <si>
    <t>Elektrizität gesamt [GWh] (Brutto)</t>
  </si>
  <si>
    <t>Elektrisch Industrie</t>
  </si>
  <si>
    <t>Differenz</t>
  </si>
  <si>
    <t>Anteil Pool</t>
  </si>
  <si>
    <t>Endenergie Strom ohne Methanisierung [GWh]</t>
  </si>
  <si>
    <t>GWh/a</t>
  </si>
  <si>
    <t>Anzahl Beowhner Österreich 2050</t>
  </si>
  <si>
    <t>Zuschuss pro Person</t>
  </si>
  <si>
    <t>kWh/a Bewohner</t>
  </si>
  <si>
    <t>Gesamtverluste</t>
  </si>
  <si>
    <t>Elektrizität lokal</t>
  </si>
  <si>
    <t>Strom zentral</t>
  </si>
  <si>
    <t>Meth. Wasserkraft</t>
  </si>
  <si>
    <t>Meth. Windenergie</t>
  </si>
  <si>
    <t>Meth. Photovoltaik</t>
  </si>
  <si>
    <t>Summe Methanisierung</t>
  </si>
  <si>
    <t>davon</t>
  </si>
  <si>
    <t>Gesamt mit Verlusten</t>
  </si>
  <si>
    <t>ÖV</t>
  </si>
  <si>
    <t>e-MIV</t>
  </si>
  <si>
    <t>Energieflussbild 2008 Streicher</t>
  </si>
  <si>
    <t>Kontrolle</t>
  </si>
  <si>
    <t>Endenergiebedarf 2008, 2017 und 2050</t>
  </si>
  <si>
    <t>Endenergiebedarf Gebäude</t>
  </si>
  <si>
    <t>Erdgas</t>
  </si>
  <si>
    <t>Erdöl</t>
  </si>
  <si>
    <t>Elektrizität für Heizen und WW</t>
  </si>
  <si>
    <t>Elektrizität für Kühlen und E-Geräte</t>
  </si>
  <si>
    <t>Elektrizität für Wärmepumpe</t>
  </si>
  <si>
    <t>Elektrizität Summe</t>
  </si>
  <si>
    <t>Umgebungswärme</t>
  </si>
  <si>
    <t>Biomasse und Wärmenetze</t>
  </si>
  <si>
    <t>Endenergiebedarf Mobilität</t>
  </si>
  <si>
    <t>Elektrizität Mobilität</t>
  </si>
  <si>
    <t>Endenergiebedarf Produktion/Industrie</t>
  </si>
  <si>
    <t>Wärme HT elektrisch</t>
  </si>
  <si>
    <t>Wärme HT CH4 aus CO2</t>
  </si>
  <si>
    <t>Wärme HT Biomasse</t>
  </si>
  <si>
    <t>Wärme HT fossil</t>
  </si>
  <si>
    <t>Wärme Summe</t>
  </si>
  <si>
    <t>Elektrisch</t>
  </si>
  <si>
    <t>2050 Ö-Energieautark Wachstum</t>
  </si>
  <si>
    <t>PJ/a</t>
  </si>
  <si>
    <t>Abweichung</t>
  </si>
  <si>
    <t>Gwh/a</t>
  </si>
  <si>
    <t>Unterschied durch die verschiedenen Annahmen zwecks Deckung GKW</t>
  </si>
  <si>
    <t>Einsparung in %</t>
  </si>
  <si>
    <t>Gesamteinsparung</t>
  </si>
  <si>
    <t>Primärenergieerzeugung 2017</t>
  </si>
  <si>
    <t>Differenz zu 2050</t>
  </si>
  <si>
    <t>Bilanz</t>
  </si>
  <si>
    <t>Primärenergie</t>
  </si>
  <si>
    <t>Endenergie</t>
  </si>
  <si>
    <t>https://www.bmnt.gv.at/dam/jcr:3db9b813-8c0f-49fd-b5ff-89e9600c3cd7/Energie_in_OE2018_Barrierefrei.pdf</t>
  </si>
  <si>
    <t>Strom lokal</t>
  </si>
  <si>
    <t>Balkendiagramm</t>
  </si>
  <si>
    <t>Zentral</t>
  </si>
  <si>
    <t>Lokal</t>
  </si>
  <si>
    <t>Tabelle Studien</t>
  </si>
  <si>
    <t>Nr.</t>
  </si>
  <si>
    <t>Autor</t>
  </si>
  <si>
    <t>Titel</t>
  </si>
  <si>
    <t>Bezeichnung</t>
  </si>
  <si>
    <t>Quelle</t>
  </si>
  <si>
    <t>Faktor Geothermieaufteilung auf Wind</t>
  </si>
  <si>
    <t>Bruttoverbrauch</t>
  </si>
  <si>
    <t>Anteil Methanisierung</t>
  </si>
  <si>
    <t>Verteilverluste Elektriztität</t>
  </si>
  <si>
    <t>2010          [UBA 2016]</t>
  </si>
  <si>
    <t>2050      konstant [Streicher 2011]</t>
  </si>
  <si>
    <t>2050          0,8% Wachst. [Streicher 2011]</t>
  </si>
  <si>
    <t>2050        [Veigl 2015]</t>
  </si>
  <si>
    <t>2050          [UBA 2016]</t>
  </si>
  <si>
    <t>2050          [UBA 2017]</t>
  </si>
  <si>
    <t>2050      Streicher 0,8% Wachst.  ohne_tGeo</t>
  </si>
  <si>
    <t>2050      Streicher 0,8% Var1 Mobi LW UBA</t>
  </si>
  <si>
    <t>Vergleich Szenarien 2050</t>
  </si>
  <si>
    <t>Referenz 2010 UBA 2016</t>
  </si>
  <si>
    <t>Streicher 2011 konstant</t>
  </si>
  <si>
    <t>Streicher 2011 Wachstum</t>
  </si>
  <si>
    <t>Veigl 2015</t>
  </si>
  <si>
    <t>UBA 2016</t>
  </si>
  <si>
    <t>UBA transition 2017</t>
  </si>
  <si>
    <t>Streicher 2011 ohne tGeo</t>
  </si>
  <si>
    <t>Streicher 2011 Wachstum Var1</t>
  </si>
  <si>
    <t>Elektrizität Verkehr/Industrie</t>
  </si>
  <si>
    <t>Veigl</t>
  </si>
  <si>
    <t>Bruttoinlandsverbrauch</t>
  </si>
  <si>
    <t>Windkraft</t>
  </si>
  <si>
    <t>Biogene</t>
  </si>
  <si>
    <t>Umgebungswärme Wärmepumpe</t>
  </si>
  <si>
    <t>UBA auch ST</t>
  </si>
  <si>
    <t>Bei UBA auch ST?</t>
  </si>
  <si>
    <t>Tiefe Geo-thermie</t>
  </si>
  <si>
    <t>Öl</t>
  </si>
  <si>
    <t>Kohle</t>
  </si>
  <si>
    <t>Abfälle</t>
  </si>
  <si>
    <t xml:space="preserve">Wasserstoff </t>
  </si>
  <si>
    <t>Elektrische Energie Export/Import</t>
  </si>
  <si>
    <t>Differenzierung lokal/überregional</t>
  </si>
  <si>
    <t>Elektrizität und Wärme NT Lokal</t>
  </si>
  <si>
    <t>Elektrizität National</t>
  </si>
  <si>
    <t>Wärme, bzw. KWK national</t>
  </si>
  <si>
    <t>Rest erneuerbar (tiefe Geothermie)</t>
  </si>
  <si>
    <t>Fossil</t>
  </si>
  <si>
    <t>Geothermie in Wärme &lt;= 100°C</t>
  </si>
  <si>
    <t xml:space="preserve">Endenergiebedarf nach Verteilung </t>
  </si>
  <si>
    <t>2008 [Streicher 2011]</t>
  </si>
  <si>
    <t>2050 Ö-Energieautark konstant</t>
  </si>
  <si>
    <t>Elektrizität</t>
  </si>
  <si>
    <t>Endenergiebedarf Gesamt</t>
  </si>
  <si>
    <t>Summe elektrisch</t>
  </si>
  <si>
    <t>Energetischer Endverbrauch ohne Verteilverluste</t>
  </si>
  <si>
    <t>Haushalte</t>
  </si>
  <si>
    <t>Dienstleistungen</t>
  </si>
  <si>
    <t>Gebäude (Summe HH, Dienstl.)</t>
  </si>
  <si>
    <t>Industrie / Produktion</t>
  </si>
  <si>
    <t>Landwirtschaft</t>
  </si>
  <si>
    <t>Elektrizität gesamt</t>
  </si>
  <si>
    <t>Nicht energetischer Verbrauch? Flugverkehr</t>
  </si>
  <si>
    <t>2050 Ö-Energieautark</t>
  </si>
  <si>
    <t>Endenergiebedarf Produktion</t>
  </si>
  <si>
    <t>ElektrWärmepumpe</t>
  </si>
  <si>
    <t>Wärme &gt;= 100°C</t>
  </si>
  <si>
    <t>Wärme &lt;= 100°C</t>
  </si>
  <si>
    <t>Elektro</t>
  </si>
  <si>
    <t>Österreich</t>
  </si>
  <si>
    <t>Wachstum</t>
  </si>
  <si>
    <t>Forstwirtschaft</t>
  </si>
  <si>
    <t>Wind</t>
  </si>
  <si>
    <t xml:space="preserve">Elektrisch </t>
  </si>
  <si>
    <t xml:space="preserve">PJ </t>
  </si>
  <si>
    <t>KWK</t>
  </si>
  <si>
    <t xml:space="preserve">Wärme HT </t>
  </si>
  <si>
    <t>Tiefe Geoth</t>
  </si>
  <si>
    <t xml:space="preserve">Wärme NT </t>
  </si>
  <si>
    <t xml:space="preserve">Kraftstoffe </t>
  </si>
  <si>
    <t>Rest Elektro</t>
  </si>
  <si>
    <t xml:space="preserve">Gas </t>
  </si>
  <si>
    <t>Für NT Gebäude</t>
  </si>
  <si>
    <t>Anteil</t>
  </si>
  <si>
    <t xml:space="preserve">von </t>
  </si>
  <si>
    <t>bis</t>
  </si>
  <si>
    <t>Rest Biomasse</t>
  </si>
  <si>
    <t>Wasserstoff</t>
  </si>
  <si>
    <t>Elektrische Energie</t>
  </si>
  <si>
    <t>technisches Potential</t>
  </si>
  <si>
    <t>E</t>
  </si>
  <si>
    <t>Wärmepumpe</t>
  </si>
  <si>
    <t>Tiefe Geothermie</t>
  </si>
  <si>
    <t xml:space="preserve">Verkehr </t>
  </si>
  <si>
    <t>Wärme &gt; 100°C</t>
  </si>
  <si>
    <t>UBA</t>
  </si>
  <si>
    <t>Bewohner</t>
  </si>
  <si>
    <t>Hauptwohnsitze</t>
  </si>
  <si>
    <t>bis 2030</t>
  </si>
  <si>
    <t>bis 2050</t>
  </si>
  <si>
    <t>Wirtschaftswachstum</t>
  </si>
  <si>
    <t>0,5</t>
  </si>
  <si>
    <t>0,3</t>
  </si>
  <si>
    <t>% p.a.</t>
  </si>
  <si>
    <t xml:space="preserve">Parameter </t>
  </si>
  <si>
    <t xml:space="preserve">BIP [Mrd. € 2010] </t>
  </si>
  <si>
    <t xml:space="preserve">Bevölkerung [1.000] </t>
  </si>
  <si>
    <t xml:space="preserve">Anzahl der Hauptwohnsitze [Mio.] </t>
  </si>
  <si>
    <t xml:space="preserve">Heizgradtage </t>
  </si>
  <si>
    <t xml:space="preserve">Wechselkurs US$/€ </t>
  </si>
  <si>
    <t xml:space="preserve">Internationaler Kohlepreis [US$ 2010/t] </t>
  </si>
  <si>
    <t xml:space="preserve">Internationaler Ölpreis (US$/bbl) </t>
  </si>
  <si>
    <t xml:space="preserve">Internationaler Ölpreis (US$ 2010/bbl) </t>
  </si>
  <si>
    <t xml:space="preserve">Internationaler Gaspreis [US$ 2010/GJ] </t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</si>
  <si>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WEM </t>
    </r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</si>
  <si>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WAM plus </t>
    </r>
  </si>
  <si>
    <t>Bevölkerung</t>
  </si>
  <si>
    <t>UBA-Veigl</t>
  </si>
  <si>
    <t>differenz</t>
  </si>
  <si>
    <t>Energetischer Endverbrauch Sektoren</t>
  </si>
  <si>
    <t>Produktion</t>
  </si>
  <si>
    <t>Private Haushalte</t>
  </si>
  <si>
    <t xml:space="preserve">Summe </t>
  </si>
  <si>
    <t>1 111</t>
  </si>
  <si>
    <t>1 119</t>
  </si>
  <si>
    <t>Bruttoinlandsverbrauch zu Endverbrauch</t>
  </si>
  <si>
    <t>Umwandlungseinsatz</t>
  </si>
  <si>
    <t>Umwandlungsausstoss</t>
  </si>
  <si>
    <t>nichtenergetischer Verbrauch</t>
  </si>
  <si>
    <t>Transportverluste</t>
  </si>
  <si>
    <t>Verbrauch Sektor Energie</t>
  </si>
  <si>
    <t>energetischer Endverbrauch</t>
  </si>
  <si>
    <t>Bruttoinlandsverbrauch (Primärenergie) nach Energieträgern</t>
  </si>
  <si>
    <t>Bruttoinlandsverbrauch (inkl. Umwandlung, nicht energetischer Verbrauch etc.?Primärenergieverbrauch</t>
  </si>
  <si>
    <t>Import/Export</t>
  </si>
  <si>
    <t>1 439</t>
  </si>
  <si>
    <t>1 399</t>
  </si>
  <si>
    <t>1 000</t>
  </si>
  <si>
    <t>Potential</t>
  </si>
  <si>
    <t>Szenario 2030</t>
  </si>
  <si>
    <t>Szenario 2050</t>
  </si>
  <si>
    <t>ENDENERGIEVERBRAUCH NACH ENERGIETRÄGERN IN PJ</t>
  </si>
  <si>
    <t>Energetischer Endenergieverbrauch</t>
  </si>
  <si>
    <t>Endenergieverbrauch nach Energieträgern</t>
  </si>
  <si>
    <t>Biogene Wärme</t>
  </si>
  <si>
    <t>Umweltw. &amp; Geoth.</t>
  </si>
  <si>
    <t>Abfall</t>
  </si>
  <si>
    <t>Methan</t>
  </si>
  <si>
    <t>Wärme</t>
  </si>
  <si>
    <t>Fernwärme fossil</t>
  </si>
  <si>
    <t>Heizöl etc.</t>
  </si>
  <si>
    <t>Kraftstoffe fossil</t>
  </si>
  <si>
    <t xml:space="preserve">Kohle </t>
  </si>
  <si>
    <t xml:space="preserve">Öl (inkl. Off-road) </t>
  </si>
  <si>
    <t xml:space="preserve">Biomasse </t>
  </si>
  <si>
    <t xml:space="preserve">energetischer Endverbrauch Verkehr </t>
  </si>
  <si>
    <t>Landw. Bio­masse</t>
  </si>
  <si>
    <t>Forstw. Bio­masse</t>
  </si>
  <si>
    <t>Biogene Rest­stoffe</t>
  </si>
  <si>
    <t xml:space="preserve">Quelle: Potenzial 2050 nach eigenen Abschätzungen; Werte für 2013: Statistik Austria (2014a); Werte für 2030 und 2050: eigene </t>
  </si>
  <si>
    <r>
      <t>ENERGIEBEDINGTE CO</t>
    </r>
    <r>
      <rPr>
        <b/>
        <vertAlign val="subscript"/>
        <sz val="6"/>
        <color rgb="FFD19C2B"/>
        <rFont val="Arial Black"/>
        <family val="2"/>
      </rPr>
      <t>2</t>
    </r>
    <r>
      <rPr>
        <b/>
        <sz val="30"/>
        <color rgb="FFD19C2B"/>
        <rFont val="Arial Black"/>
        <family val="2"/>
      </rPr>
      <t>-EMISSIONEN</t>
    </r>
  </si>
  <si>
    <r>
      <t>Mio. t CO</t>
    </r>
    <r>
      <rPr>
        <b/>
        <i/>
        <sz val="5"/>
        <color rgb="FF221E1F"/>
        <rFont val="Arial"/>
        <family val="2"/>
      </rPr>
      <t>2e</t>
    </r>
  </si>
  <si>
    <t>13,9</t>
  </si>
  <si>
    <t>11,9</t>
  </si>
  <si>
    <t>10,0</t>
  </si>
  <si>
    <t>4,8</t>
  </si>
  <si>
    <t>0,0</t>
  </si>
  <si>
    <t>28,1</t>
  </si>
  <si>
    <t>38,7</t>
  </si>
  <si>
    <t>32,9</t>
  </si>
  <si>
    <t>10,6</t>
  </si>
  <si>
    <t>11,3</t>
  </si>
  <si>
    <t>18,3</t>
  </si>
  <si>
    <t>15,3</t>
  </si>
  <si>
    <t>4,9</t>
  </si>
  <si>
    <t>0,7</t>
  </si>
  <si>
    <t>1,4</t>
  </si>
  <si>
    <t>1,8</t>
  </si>
  <si>
    <t>54,2</t>
  </si>
  <si>
    <t>70,3</t>
  </si>
  <si>
    <t>60,0</t>
  </si>
  <si>
    <t>22,1</t>
  </si>
  <si>
    <t>2,0</t>
  </si>
  <si>
    <t>THG-EMISSIONEN (OHNE LULUCF)</t>
  </si>
  <si>
    <t>Energie</t>
  </si>
  <si>
    <t>55,4</t>
  </si>
  <si>
    <t>71,8</t>
  </si>
  <si>
    <t>61,2</t>
  </si>
  <si>
    <t>23,0</t>
  </si>
  <si>
    <t>2,5</t>
  </si>
  <si>
    <t>Industr. Prozesse</t>
  </si>
  <si>
    <t>10,9</t>
  </si>
  <si>
    <t>10,4</t>
  </si>
  <si>
    <t>Lösungs­mittel</t>
  </si>
  <si>
    <t>0,4</t>
  </si>
  <si>
    <t>0,2</t>
  </si>
  <si>
    <t>Landwirt­schaft</t>
  </si>
  <si>
    <t>8,6</t>
  </si>
  <si>
    <t>7,4</t>
  </si>
  <si>
    <t>7,5</t>
  </si>
  <si>
    <t>6,7</t>
  </si>
  <si>
    <t>5,5</t>
  </si>
  <si>
    <t>3,6</t>
  </si>
  <si>
    <t>2,3</t>
  </si>
  <si>
    <t>1,7</t>
  </si>
  <si>
    <t>1,5</t>
  </si>
  <si>
    <t>1,2</t>
  </si>
  <si>
    <t>78,1</t>
  </si>
  <si>
    <t>92,6</t>
  </si>
  <si>
    <t>81,5</t>
  </si>
  <si>
    <t>41,8</t>
  </si>
  <si>
    <t>14,3</t>
  </si>
  <si>
    <t xml:space="preserve">Quelle: Werte für 1990 und 2005: Umweltbundesamt (2014a); Werte für 2013: eigene Abschätzungen; Werte für 2030 und 2050: </t>
  </si>
  <si>
    <t>UBA 2017</t>
  </si>
  <si>
    <t>Energetischer Endverbrauch</t>
  </si>
  <si>
    <t>Strombedarf</t>
  </si>
  <si>
    <t>Fernwärmebedarf</t>
  </si>
  <si>
    <t>Gesamtverbrauch</t>
  </si>
  <si>
    <t>Umwandlungsausstoß</t>
  </si>
  <si>
    <t>nicht-energetischer Verbrauch</t>
  </si>
  <si>
    <t>Verbrauch des Sektors Energie</t>
  </si>
  <si>
    <t>energietischer Endverbrauch</t>
  </si>
  <si>
    <t>Brutto</t>
  </si>
  <si>
    <t>nicht Strom und Fernwärme</t>
  </si>
  <si>
    <t>Energetischer Endverbrauch 2050 transition</t>
  </si>
  <si>
    <t>Gesamt 2050</t>
  </si>
  <si>
    <t>Stromerzeugung</t>
  </si>
  <si>
    <t>Fernwärme</t>
  </si>
  <si>
    <t>Sonstige RES</t>
  </si>
  <si>
    <t>Vorab</t>
  </si>
  <si>
    <t>UBA 2017 angepasst</t>
  </si>
  <si>
    <t>Anteil Unternehmen mit Eigenanlage</t>
  </si>
  <si>
    <t>Anteil ST an Rest</t>
  </si>
  <si>
    <t>Umweltwärme Wärmepumpe</t>
  </si>
  <si>
    <t>netto</t>
  </si>
  <si>
    <t>Sonstige Erneuerbare</t>
  </si>
  <si>
    <t>Unternehmen mit Eigenanlage</t>
  </si>
  <si>
    <t>offroad (ist aber nicht in Bilanzen oben enthalten)</t>
  </si>
  <si>
    <t>Kleiner Summenfehler</t>
  </si>
  <si>
    <t>Quelle:</t>
  </si>
  <si>
    <t>file:///C:\Users\Simon%20Schneider\EE%20Alt%20privat\1_Forschung\2_Laufend\C-%20Way2Smart\4-%20Ergebnisse\Way2SmartKorneuburg_VerbrauchStadtzusammen2008bis2016Auswertung_neu_20190914.xlsx</t>
  </si>
  <si>
    <t>Annahmen</t>
  </si>
  <si>
    <t>Alternativ</t>
  </si>
  <si>
    <t>BürgerInnen KO 2050</t>
  </si>
  <si>
    <t>Korneuburg</t>
  </si>
  <si>
    <t>PV Ertrag</t>
  </si>
  <si>
    <t>kWh/kWp a</t>
  </si>
  <si>
    <t>Spezifischer Flächenbedarf</t>
  </si>
  <si>
    <t>m² PV/kWp</t>
  </si>
  <si>
    <t>Bauland</t>
  </si>
  <si>
    <t>Bebaute Fläche</t>
  </si>
  <si>
    <t>Kompensationsfaktor</t>
  </si>
  <si>
    <t>kWh PV/kWh Erdgas</t>
  </si>
  <si>
    <t>Methanisierung, inkl. 10% Leitungsverluste laut Streicher 2011</t>
  </si>
  <si>
    <t>Mögliche Grenzwerte</t>
  </si>
  <si>
    <t>Anteil Gebäude, die für PV geeignet sind</t>
  </si>
  <si>
    <t>Ergebnisse</t>
  </si>
  <si>
    <t>Mögliche Zielwerte je nach Szenario</t>
  </si>
  <si>
    <t>Faktor KO/Austria Einwohner</t>
  </si>
  <si>
    <t>Baulandfläche mit Gebäude</t>
  </si>
  <si>
    <t xml:space="preserve">PV </t>
  </si>
  <si>
    <t>MWh/a</t>
  </si>
  <si>
    <t>Einw/Einw</t>
  </si>
  <si>
    <t>m²</t>
  </si>
  <si>
    <t>ST als WP Elektro</t>
  </si>
  <si>
    <t>Gewählt</t>
  </si>
  <si>
    <t>Simon geändert</t>
  </si>
  <si>
    <t>PV+STinPV</t>
  </si>
  <si>
    <t>BGF gesamt</t>
  </si>
  <si>
    <t>NGF gesamt</t>
  </si>
  <si>
    <t>PV für Methanisierung national</t>
  </si>
  <si>
    <t>NF gesamt</t>
  </si>
  <si>
    <t>PV für Kompensation Fossile</t>
  </si>
  <si>
    <t>BGF Wohnen</t>
  </si>
  <si>
    <t>NGF Wohnen</t>
  </si>
  <si>
    <t>m€</t>
  </si>
  <si>
    <t>PV Erzeugung gesamt erforderlich</t>
  </si>
  <si>
    <t>12 % Wirkungsgradverluste PV über 30 Jahre akkumuliert</t>
  </si>
  <si>
    <t>NF Wohnen</t>
  </si>
  <si>
    <t>kWh/m²BGF a</t>
  </si>
  <si>
    <t>10% der Gebäude können nicht belegt werden (Denkmalschutz etc.</t>
  </si>
  <si>
    <t>kWh/m²NGF a</t>
  </si>
  <si>
    <t>kWh/m²NF a</t>
  </si>
  <si>
    <t>kWh/BürgerIn a</t>
  </si>
  <si>
    <t>Erzeugung pro Baulandfläche</t>
  </si>
  <si>
    <t>kWh/m²Grst.a</t>
  </si>
  <si>
    <t>Erzeugung pro bebauter Baulandfläche</t>
  </si>
  <si>
    <t>kWh/m²Grst.bebaut a</t>
  </si>
  <si>
    <t>Erzeugung pro bebauter Fläche</t>
  </si>
  <si>
    <t>kWh/m²bebaut a</t>
  </si>
  <si>
    <t>PV Leistung</t>
  </si>
  <si>
    <t>kWp</t>
  </si>
  <si>
    <t>spezifisch pro Person</t>
  </si>
  <si>
    <t>kWp/BürgerIn</t>
  </si>
  <si>
    <t>spezifisch pro 100 m² BGF</t>
  </si>
  <si>
    <t>kWp/100m² BGF</t>
  </si>
  <si>
    <t>PV Flächen</t>
  </si>
  <si>
    <t>Spezifische PVFl/bebaute Fl</t>
  </si>
  <si>
    <t>m²/m²</t>
  </si>
  <si>
    <t>Auswertung Gebäude way2smart</t>
  </si>
  <si>
    <t>Mindest-Erträge, Grenz-wert</t>
  </si>
  <si>
    <t>Testbed Juli Basis/Startup 4 gesch. 2016</t>
  </si>
  <si>
    <t>Testbed Midi 4 gesch. Juli 2016</t>
  </si>
  <si>
    <t>Testbed März 3 gesch. 2018</t>
  </si>
  <si>
    <t>Testbed 2 bis 3 gesch. August 2018</t>
  </si>
  <si>
    <t>Testbed 2 bis 3 gesch. August 2019</t>
  </si>
  <si>
    <t>Doppelhaus Maulpertsch</t>
  </si>
  <si>
    <t>Doppelhaus Maulpertsch aktuell mit Keller teilbeheizt</t>
  </si>
  <si>
    <t>8 Fam.Haus Maulpertsch nachverdichtet</t>
  </si>
  <si>
    <t>Große Gebäude in Wien, Achtung, würden laut Grenzwerten in Korneuburg stehen</t>
  </si>
  <si>
    <t>Aspern Nord H1+H5</t>
  </si>
  <si>
    <t>Aspern Nord F8+F10</t>
  </si>
  <si>
    <t>EHF Basis</t>
  </si>
  <si>
    <t>EFH Basis nachverdichtet</t>
  </si>
  <si>
    <t>Pilzgasse Phase I</t>
  </si>
  <si>
    <t>Pilzgasse Phase II</t>
  </si>
  <si>
    <t>Variante PV</t>
  </si>
  <si>
    <t>alfa</t>
  </si>
  <si>
    <t>beta</t>
  </si>
  <si>
    <t>gamma</t>
  </si>
  <si>
    <t>delta</t>
  </si>
  <si>
    <t>Max</t>
  </si>
  <si>
    <t>Fast Max</t>
  </si>
  <si>
    <t>Dach</t>
  </si>
  <si>
    <t>Dachhalb</t>
  </si>
  <si>
    <t>Optimiert</t>
  </si>
  <si>
    <t>Grundstücksfläche</t>
  </si>
  <si>
    <t>BGF beheizt</t>
  </si>
  <si>
    <t>NGF beheizt</t>
  </si>
  <si>
    <t>Nutzfläche beheizt</t>
  </si>
  <si>
    <t>Bebauungsdichte/Geschossflächenzahl</t>
  </si>
  <si>
    <t>-</t>
  </si>
  <si>
    <t>Installierte Leistung PV</t>
  </si>
  <si>
    <t>Ertrag PV</t>
  </si>
  <si>
    <t>kWh/a</t>
  </si>
  <si>
    <t>Ertrag spezifisch BGF</t>
  </si>
  <si>
    <t>kWh/m²BGF</t>
  </si>
  <si>
    <t>Ertrag spezifisch NGF</t>
  </si>
  <si>
    <t>kWh/m²NGF</t>
  </si>
  <si>
    <t>Ertrag spezifisch NF</t>
  </si>
  <si>
    <t>kWh/m²NF</t>
  </si>
  <si>
    <t>Ertrag spezifisch Baulandfläche</t>
  </si>
  <si>
    <t>Ertrag spezifisch bebaute Baulandfläche</t>
  </si>
  <si>
    <t>Ertrag spezifisch bebaute Fläche</t>
  </si>
  <si>
    <t>Grenzwerte</t>
  </si>
  <si>
    <t xml:space="preserve">Primärenergiesaldo laut </t>
  </si>
  <si>
    <t>NF beheizt</t>
  </si>
  <si>
    <t>Baulandfläche</t>
  </si>
  <si>
    <t>Variante Streicher inkl. tiefe Geothermie</t>
  </si>
  <si>
    <t>"Pierre  Aug.2018" exkl. tiefe Geothermie</t>
  </si>
  <si>
    <t>"Pierre Aug.2018" inkl. tiefe Geothermie</t>
  </si>
  <si>
    <t>Variante Streicher exkl. tiefe Geothermie</t>
  </si>
  <si>
    <t>RIPPL BAU</t>
  </si>
  <si>
    <t>Korneuburg aus Streicher 2008  Einwohner-schlüssel</t>
  </si>
  <si>
    <t>KO 2017 aus EVN Messung ergänzt Energiekataster</t>
  </si>
  <si>
    <t>KO Umrechnung aus Streicher 2050</t>
  </si>
  <si>
    <t>Korneuburg 2050, bzw. 2036, Produktion angepasst</t>
  </si>
  <si>
    <t>Endenergiebedarf lokal Korneuburg 2036</t>
  </si>
  <si>
    <t>Variante Streicher 2050 Wachstum inkl. UBA 2017 Mobi, Anpassung an EVN 2017, Energiekataster 2008, FH Studie 2013</t>
  </si>
  <si>
    <t>Deckung aus nationalem Pool Direktaufteilung</t>
  </si>
  <si>
    <t>Rest</t>
  </si>
  <si>
    <t>Aus nationalem Pool, über Einwohnerschlüssel verteilt</t>
  </si>
  <si>
    <t>Deckung KO 2050, wird für 2036 verwendet</t>
  </si>
  <si>
    <t>Deckung</t>
  </si>
  <si>
    <t>Variante mit Stadtsimulation Pierre 201808 für Gebäude</t>
  </si>
  <si>
    <t>wie Streicher</t>
  </si>
  <si>
    <t>NWG</t>
  </si>
  <si>
    <t>Ohne Mobilität</t>
  </si>
  <si>
    <t>Elektrizität ohne Wärmebereitstellung</t>
  </si>
  <si>
    <t>ST</t>
  </si>
  <si>
    <t>Elektrizität für Wärmebereitstellung</t>
  </si>
  <si>
    <t>FW</t>
  </si>
  <si>
    <t>Umgeb</t>
  </si>
  <si>
    <t>Elektrisch gesamt</t>
  </si>
  <si>
    <t>ST in WP Wärme</t>
  </si>
  <si>
    <t>Wärme inkl. dieser aus Elektrizität</t>
  </si>
  <si>
    <t>ST in WP Elektro</t>
  </si>
  <si>
    <t>Wärme exkl. dieser aus Elektrizität</t>
  </si>
  <si>
    <t>PV für ST in WP</t>
  </si>
  <si>
    <t>PV ges</t>
  </si>
  <si>
    <t>Umgeb inkl. ST in WP Wärme</t>
  </si>
  <si>
    <t>Arbeitszahl WP</t>
  </si>
  <si>
    <t>Kennwerte Korneuburg</t>
  </si>
  <si>
    <t>Auswahl für referenz</t>
  </si>
  <si>
    <t>Kennwerte Streicher aus Studie</t>
  </si>
  <si>
    <t>Gesamt A Szenario Wachstum [PJ/a]</t>
  </si>
  <si>
    <t>Wo ist Biomasse</t>
  </si>
  <si>
    <t>mit tiefer Geothermie</t>
  </si>
  <si>
    <t>ohne tiefer Geothermie</t>
  </si>
  <si>
    <t>Zielwerte</t>
  </si>
  <si>
    <t>Großkraftwerke</t>
  </si>
  <si>
    <t>Anteil Biomasse</t>
  </si>
  <si>
    <t>Nationaler Pool Direktzuteilung</t>
  </si>
  <si>
    <t>Über Einwohnerschlüssel</t>
  </si>
  <si>
    <t>elektr</t>
  </si>
  <si>
    <t>elektro HAT</t>
  </si>
  <si>
    <t>konstant</t>
  </si>
  <si>
    <t>Methanisierung schon abgezogen</t>
  </si>
  <si>
    <t>Für Korneuburg</t>
  </si>
  <si>
    <t>Wirkungsgrad</t>
  </si>
  <si>
    <t>Holz u. Holzabfälle</t>
  </si>
  <si>
    <t>Landwirtschaftliche Reststoff + Nebenprodukte Energiepflanzen</t>
  </si>
  <si>
    <t>Klärschlamm, Schwarzlauge</t>
  </si>
  <si>
    <t>Sägenebenprodukte</t>
  </si>
  <si>
    <t>Altspeieöl, Fette, sonstige landwirtschaftliche Projekte</t>
  </si>
  <si>
    <t>Industrie Wärme &gt;= 100°C</t>
  </si>
  <si>
    <t>Industrie Wärme &lt; 100°C</t>
  </si>
  <si>
    <t>Biomasse Gesamt</t>
  </si>
  <si>
    <t>PV für Methanisierung</t>
  </si>
  <si>
    <t>Österreich 2050 [PJ/a]</t>
  </si>
  <si>
    <t>Korneuburg 2050 [MWh/a]</t>
  </si>
  <si>
    <t>7.9 und 2.465 aus Bericht?</t>
  </si>
  <si>
    <t>Bruttoinlandsverbrauch ohen Methanisierung</t>
  </si>
  <si>
    <t>Rest ohne Verlust Netz</t>
  </si>
  <si>
    <t>85% Wirkungsgrad Biomasse in Wärme</t>
  </si>
  <si>
    <t>2050 otGeo</t>
  </si>
  <si>
    <t>Elektrizität bei Kunden ohne Methanisierung</t>
  </si>
  <si>
    <t>Summe ohne PV</t>
  </si>
  <si>
    <t>Anteil Windkraft an fehlendem Bruttoinlandsverbrauch</t>
  </si>
  <si>
    <t>Szenario gewählt</t>
  </si>
  <si>
    <t>Anteil Windkraft an fehlender Methanisierung</t>
  </si>
  <si>
    <t>Von Erzeugung bis Endkunde</t>
  </si>
  <si>
    <t>TabellenEE</t>
  </si>
  <si>
    <t>Aus Studie Streicher</t>
  </si>
  <si>
    <t>Szenario EAP</t>
  </si>
  <si>
    <t>Davon Methanisierung</t>
  </si>
  <si>
    <t>Energiedienstleistungen angepasst</t>
  </si>
  <si>
    <t>Elektrizität für WP</t>
  </si>
  <si>
    <t>Elektrizität für Wärme&gt;100°C</t>
  </si>
  <si>
    <t>Wärmepumpe Heizen &lt; 100°C</t>
  </si>
  <si>
    <t>Anteil Strom</t>
  </si>
  <si>
    <t>Wärme &lt; 100°C</t>
  </si>
  <si>
    <t>aus Streicher</t>
  </si>
  <si>
    <t xml:space="preserve">Wirkungsgrad </t>
  </si>
  <si>
    <t xml:space="preserve">Anteile </t>
  </si>
  <si>
    <t>Anteile Strom</t>
  </si>
  <si>
    <t>Anteil Strom Methanisierung</t>
  </si>
  <si>
    <t>Anteile Strom Großkraftwerke</t>
  </si>
  <si>
    <t>Solarthermie Gebäude</t>
  </si>
  <si>
    <t>Allokation Brutto- zu Endenergie</t>
  </si>
  <si>
    <t>Biomasse gesamt</t>
  </si>
  <si>
    <t>Check</t>
  </si>
  <si>
    <t>Methanisierung Summe</t>
  </si>
  <si>
    <t>Aus Streicher 2011</t>
  </si>
  <si>
    <t>Holz differenzierung für Strom</t>
  </si>
  <si>
    <t>Gesamt Bruttoinlandsverbrauch</t>
  </si>
  <si>
    <t xml:space="preserve">Aufteilung </t>
  </si>
  <si>
    <t>Endenergie nach Umwandlung, vor Verteilung</t>
  </si>
  <si>
    <t>davon Elektrizität</t>
  </si>
  <si>
    <t>offen Kraftst. Aus Methanisierung</t>
  </si>
  <si>
    <t>Gas aus Methanisierung</t>
  </si>
  <si>
    <t>Gas für Wärme &gt;100°C</t>
  </si>
  <si>
    <t>Energie nach Umwandlungsverluste</t>
  </si>
  <si>
    <t>Wirkungsgrad Endenergie/Bruttoinlandsverbrauch</t>
  </si>
  <si>
    <t>Energie nach Verteilung (bei Kunden)</t>
  </si>
  <si>
    <t>Wirkungsgrad Verteilverluste</t>
  </si>
  <si>
    <t>Wirkungsgrad Gesamt Endenergie/Bruttoinlandsverbrauch</t>
  </si>
  <si>
    <t>Anteil Deckung Großkraftwerke elektrisch</t>
  </si>
  <si>
    <t>Szenario Sollwerte</t>
  </si>
  <si>
    <t>Anteil Großkraftwerke Elektrizität</t>
  </si>
  <si>
    <t>%/100</t>
  </si>
  <si>
    <t>Erzeugung Brutto ohne Methanisierung</t>
  </si>
  <si>
    <t>Endenergie Strom ohne Methanisierung</t>
  </si>
  <si>
    <t>Großkraftwerke (GKW)</t>
  </si>
  <si>
    <t>Anteil GKW</t>
  </si>
  <si>
    <t>PJ</t>
  </si>
  <si>
    <t>Elektrische Energie GKW für Gebäude+Mobilität privat</t>
  </si>
  <si>
    <t>GWh</t>
  </si>
  <si>
    <t>Zuschuss pro BürgerIn</t>
  </si>
  <si>
    <t>Gutschrift KO</t>
  </si>
  <si>
    <t>Allokation Gutschrift und PV für Methanisierung auf Korneuburg</t>
  </si>
  <si>
    <t>Umrechnung national auf Korneuburg</t>
  </si>
  <si>
    <t>Gutschrift EE-GKW</t>
  </si>
  <si>
    <t>PV-Produktion ohne Methanisierung</t>
  </si>
  <si>
    <t>Produktion PV-Strom für Methanisierung</t>
  </si>
  <si>
    <t>Gesamtsummen A</t>
  </si>
  <si>
    <t>PV mit Verteilverlusten</t>
  </si>
  <si>
    <t>Spezifisch pro BürgerIn</t>
  </si>
  <si>
    <t xml:space="preserve">Korneuburg gesamt, </t>
  </si>
  <si>
    <t>Allokation BürgerInnen Korneuburg</t>
  </si>
  <si>
    <t>Allokation bebaute Fläche Korneuburg</t>
  </si>
  <si>
    <t>Allokation Bauland Korneuburg</t>
  </si>
  <si>
    <t>Allokation EE-GKW und PV Methanisierung gewählt</t>
  </si>
  <si>
    <t>Allokationsmethode</t>
  </si>
  <si>
    <t>Verkehrsleistung aus nationalem Pool</t>
  </si>
  <si>
    <t>Pkm</t>
  </si>
  <si>
    <t>Zone Korneuburg laut UAP 2017</t>
  </si>
  <si>
    <t>Verkehrsleistung gesamt Korneuburg</t>
  </si>
  <si>
    <t>Lokal zu decken</t>
  </si>
  <si>
    <t>Fremdstrom</t>
  </si>
  <si>
    <t>Belegung</t>
  </si>
  <si>
    <t>Belegungsgrad</t>
  </si>
  <si>
    <t>Bedarf elektrische Energie lokal spezifisch</t>
  </si>
  <si>
    <t>kWh/Person</t>
  </si>
  <si>
    <t>Bedarf elektrische Energie lokal</t>
  </si>
  <si>
    <t>2008 FH Studie</t>
  </si>
  <si>
    <t>siehe Blatt Auswertung 2008</t>
  </si>
  <si>
    <t>Hochrechnung</t>
  </si>
  <si>
    <t>Wohnen</t>
  </si>
  <si>
    <t>Handel</t>
  </si>
  <si>
    <t>Büro/Verwaltung</t>
  </si>
  <si>
    <t>Infrastruktur</t>
  </si>
  <si>
    <t>Betrieb</t>
  </si>
  <si>
    <t>Kataster</t>
  </si>
  <si>
    <t>Abwärme</t>
  </si>
  <si>
    <t>Solarthermisch</t>
  </si>
  <si>
    <t>Wärme Biomasse/Biogas</t>
  </si>
  <si>
    <t>Wärme fossil</t>
  </si>
  <si>
    <t>Wärme Strom WP</t>
  </si>
  <si>
    <t>Wärme Strom direkt</t>
  </si>
  <si>
    <t>Prozesskälte</t>
  </si>
  <si>
    <t>FH Studie 2008</t>
  </si>
  <si>
    <t>Direct cooling</t>
  </si>
  <si>
    <t>Kälte Strom</t>
  </si>
  <si>
    <t>PV</t>
  </si>
  <si>
    <t>Neu, 2017</t>
  </si>
  <si>
    <t>Strom KWK biogen</t>
  </si>
  <si>
    <t>Strom Sonstige alternativ</t>
  </si>
  <si>
    <t>Strom KWK fossil</t>
  </si>
  <si>
    <t>hier gemischt</t>
  </si>
  <si>
    <t>Netzstrom</t>
  </si>
  <si>
    <t>Energiekataster teilweise zusammengefasst mit Strom korrigiert</t>
  </si>
  <si>
    <t>FH 2013</t>
  </si>
  <si>
    <t>Orginalkatasterwerte</t>
  </si>
  <si>
    <t>Haushalte FH Studie 2013 für 2008</t>
  </si>
  <si>
    <t>NWG Dienstleistungen+Betriebe</t>
  </si>
  <si>
    <t>NWG mit Messwerten</t>
  </si>
  <si>
    <t>NWG synthetisch neu</t>
  </si>
  <si>
    <t>Handel, Büro, Infrastruktur (Dienstleistungen)</t>
  </si>
  <si>
    <t>Betriebe/Industrie</t>
  </si>
  <si>
    <t>Faktor Dienstleistungen</t>
  </si>
  <si>
    <t>Endenergieverbrauch 2017, MWh/a</t>
  </si>
  <si>
    <t>Gebäude (Summe Haushalte und Dienstleistungen)</t>
  </si>
  <si>
    <t>Industrie/Betrieb</t>
  </si>
  <si>
    <t>Steinkohle</t>
  </si>
  <si>
    <t>Braunkohle</t>
  </si>
  <si>
    <t>Braunkohlebrikett</t>
  </si>
  <si>
    <t>Koks</t>
  </si>
  <si>
    <t>Brennholz</t>
  </si>
  <si>
    <t>Hackschnitzel (Pellets und Hackschnitzel)  (inkl. Stromproduktion)</t>
  </si>
  <si>
    <t>Brennbare Abfälle</t>
  </si>
  <si>
    <t>Sonstige Biomasse</t>
  </si>
  <si>
    <t>Heizöl extra leicht  (inkl. Stromproduktion)</t>
  </si>
  <si>
    <t>Heizöl leicht</t>
  </si>
  <si>
    <t>Heizöl schwer</t>
  </si>
  <si>
    <t>Flüssiggas</t>
  </si>
  <si>
    <t>Erdgas (inkl. Stromproduktion)</t>
  </si>
  <si>
    <t>Biogas</t>
  </si>
  <si>
    <t>Geothermie</t>
  </si>
  <si>
    <t>Solarkollektoren</t>
  </si>
  <si>
    <t>Eigenstrom</t>
  </si>
  <si>
    <t>Heizöl</t>
  </si>
  <si>
    <t>Holz</t>
  </si>
  <si>
    <t>Erdgas für Stromerzeugung</t>
  </si>
  <si>
    <t>Heizöl extra leicht für Stromerzeugung</t>
  </si>
  <si>
    <t>Pellets für Stromerzeugung</t>
  </si>
  <si>
    <t>Pellets</t>
  </si>
  <si>
    <t>Jahr</t>
  </si>
  <si>
    <t>Szenario Bezeichnung</t>
  </si>
  <si>
    <t>UBA16(2010)</t>
  </si>
  <si>
    <t>Streicher konst.</t>
  </si>
  <si>
    <t>Streicher 0,8%</t>
  </si>
  <si>
    <t>UBA16</t>
  </si>
  <si>
    <t>UBA17</t>
  </si>
  <si>
    <t>Streicher 2a</t>
  </si>
  <si>
    <t>Streicher 2b</t>
  </si>
  <si>
    <t>Szenario</t>
  </si>
  <si>
    <t>BMNT 2017</t>
  </si>
  <si>
    <t>Strombedarf Zentral</t>
  </si>
  <si>
    <t>Strombedarf dezentral</t>
  </si>
  <si>
    <t>Strombedarf Methanisierung</t>
  </si>
  <si>
    <t>Strombedarf insg</t>
  </si>
  <si>
    <t>Pumpspeicher</t>
  </si>
  <si>
    <t>Importe</t>
  </si>
  <si>
    <t>Stromproduktion</t>
  </si>
  <si>
    <t>Nicht-Volatile</t>
  </si>
  <si>
    <t>strombedarf ohne methanisierung</t>
  </si>
  <si>
    <t>Szenario [PJ/a]</t>
  </si>
  <si>
    <t>Energie und Klimazukunft 2030 (Veigl17)</t>
  </si>
  <si>
    <t>Erneuerbare Energie 2030 (UBA16)</t>
  </si>
  <si>
    <t>WEM 2030 (UBA17)</t>
  </si>
  <si>
    <t>Transition 2030 (UBA17)</t>
  </si>
  <si>
    <t>Energie und Klimazukunft 2050 (Veigl17)</t>
  </si>
  <si>
    <t>Erneuerbare Energie 2050 (UBA16)</t>
  </si>
  <si>
    <t>WEM 2050 (UBA17)</t>
  </si>
  <si>
    <t>Transition 2050 (UBA17)</t>
  </si>
  <si>
    <t>100% Erneuerbare Deckung 2050 (FLUCCO+)</t>
  </si>
  <si>
    <t>BMNT</t>
  </si>
  <si>
    <t>Volatile EE</t>
  </si>
  <si>
    <t>2015 (UBA17)</t>
  </si>
  <si>
    <t>EM2018</t>
  </si>
  <si>
    <t>EM2019</t>
  </si>
  <si>
    <t>Base</t>
  </si>
  <si>
    <t>Szenario [%-Veränderung ggü Electricitymap (EM) 2018 oder 2019</t>
  </si>
  <si>
    <t>EM</t>
  </si>
  <si>
    <t>100% Erneuerbare Deckung 2050 inkl Methan (FLUCCO+)</t>
  </si>
  <si>
    <t>Mismatch</t>
  </si>
  <si>
    <t>Laufkraft</t>
  </si>
  <si>
    <t>RES0</t>
  </si>
  <si>
    <t>RES1</t>
  </si>
  <si>
    <t>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</si>
</sst>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0.000000"/>
    <numFmt numFmtId="167" formatCode="0.0"/>
    <numFmt numFmtId="168" formatCode="0.0%"/>
    <numFmt numFmtId="169" formatCode="#,##0.0"/>
    <numFmt numFmtId="170" formatCode="#,##0.000"/>
    <numFmt numFmtId="171" formatCode="#,##0.00000"/>
  </numFmts>
  <fonts count="46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1.5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b/>
      <sz val="9"/>
      <color rgb="FF221E1F"/>
      <name val="Arial"/>
      <family val="2"/>
    </font>
    <font>
      <sz val="9"/>
      <color rgb="FF221E1F"/>
      <name val="Arial"/>
      <family val="2"/>
    </font>
    <font>
      <b/>
      <sz val="11"/>
      <color rgb="FFD19C2B"/>
      <name val="Arial Black"/>
      <family val="2"/>
    </font>
    <font>
      <b/>
      <vertAlign val="subscript"/>
      <sz val="6"/>
      <color rgb="FFD19C2B"/>
      <name val="Arial Black"/>
      <family val="2"/>
    </font>
    <font>
      <b/>
      <sz val="30"/>
      <color rgb="FFD19C2B"/>
      <name val="Arial Black"/>
      <family val="2"/>
    </font>
    <font>
      <b/>
      <i/>
      <sz val="9"/>
      <color rgb="FF221E1F"/>
      <name val="Arial"/>
      <family val="2"/>
    </font>
    <font>
      <b/>
      <i/>
      <sz val="5"/>
      <color rgb="FF221E1F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339966"/>
      <name val="Calibri"/>
      <family val="2"/>
      <scheme val="minor"/>
    </font>
    <font>
      <b/>
      <sz val="10"/>
      <color rgb="FF339966"/>
      <name val="Arial"/>
      <family val="2"/>
    </font>
    <font>
      <b/>
      <sz val="10"/>
      <color rgb="FF66FF33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CCCCCC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4">
    <xf numFmtId="0" fontId="0" fillId="0" borderId="0"/>
    <xf numFmtId="0" fontId="3" fillId="3" borderId="8" applyNumberFormat="0" applyAlignment="0" applyProtection="0"/>
    <xf numFmtId="0" fontId="4" fillId="3" borderId="9" applyNumberFormat="0" applyAlignment="0" applyProtection="0"/>
    <xf numFmtId="0" fontId="5" fillId="4" borderId="9" applyNumberFormat="0" applyAlignment="0" applyProtection="0"/>
    <xf numFmtId="0" fontId="6" fillId="0" borderId="10" applyNumberFormat="0" applyFill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11" applyNumberFormat="0" applyFill="0" applyAlignment="0" applyProtection="0"/>
    <xf numFmtId="0" fontId="2" fillId="0" borderId="0"/>
    <xf numFmtId="0" fontId="2" fillId="0" borderId="0"/>
    <xf numFmtId="0" fontId="41" fillId="16" borderId="1">
      <alignment horizontal="center" vertical="center" shrinkToFit="1"/>
      <protection locked="0"/>
    </xf>
    <xf numFmtId="0" fontId="1" fillId="2" borderId="0" applyNumberFormat="0" applyBorder="0" applyAlignment="0" applyProtection="0"/>
  </cellStyleXfs>
  <cellXfs count="417">
    <xf numFmtId="0" fontId="0" fillId="0" borderId="0" xfId="0"/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quotePrefix="1" applyBorder="1"/>
    <xf numFmtId="164" fontId="2" fillId="0" borderId="2" xfId="5" applyFont="1" applyBorder="1" applyAlignment="1">
      <alignment horizontal="right"/>
    </xf>
    <xf numFmtId="0" fontId="4" fillId="3" borderId="9" xfId="2"/>
    <xf numFmtId="0" fontId="3" fillId="3" borderId="8" xfId="1"/>
    <xf numFmtId="164" fontId="3" fillId="3" borderId="8" xfId="1" applyNumberFormat="1"/>
    <xf numFmtId="165" fontId="2" fillId="0" borderId="0" xfId="5" applyNumberFormat="1" applyFont="1"/>
    <xf numFmtId="165" fontId="0" fillId="0" borderId="0" xfId="0" applyNumberFormat="1"/>
    <xf numFmtId="0" fontId="0" fillId="0" borderId="3" xfId="0" applyBorder="1"/>
    <xf numFmtId="165" fontId="3" fillId="3" borderId="2" xfId="5" applyNumberFormat="1" applyFont="1" applyFill="1" applyBorder="1"/>
    <xf numFmtId="165" fontId="4" fillId="3" borderId="9" xfId="2" applyNumberFormat="1"/>
    <xf numFmtId="0" fontId="3" fillId="3" borderId="2" xfId="1" applyBorder="1"/>
    <xf numFmtId="165" fontId="3" fillId="3" borderId="2" xfId="1" applyNumberFormat="1" applyBorder="1"/>
    <xf numFmtId="0" fontId="4" fillId="3" borderId="2" xfId="2" applyBorder="1"/>
    <xf numFmtId="165" fontId="4" fillId="3" borderId="2" xfId="2" applyNumberFormat="1" applyBorder="1"/>
    <xf numFmtId="165" fontId="2" fillId="0" borderId="2" xfId="5" applyNumberFormat="1" applyFont="1" applyBorder="1" applyAlignment="1">
      <alignment horizontal="left" vertical="center"/>
    </xf>
    <xf numFmtId="0" fontId="0" fillId="0" borderId="2" xfId="0" applyFont="1" applyBorder="1"/>
    <xf numFmtId="165" fontId="4" fillId="3" borderId="2" xfId="5" applyNumberFormat="1" applyFont="1" applyFill="1" applyBorder="1"/>
    <xf numFmtId="0" fontId="0" fillId="0" borderId="4" xfId="0" applyBorder="1"/>
    <xf numFmtId="0" fontId="0" fillId="0" borderId="2" xfId="0" applyFill="1" applyBorder="1"/>
    <xf numFmtId="165" fontId="0" fillId="0" borderId="2" xfId="0" applyNumberFormat="1" applyBorder="1"/>
    <xf numFmtId="0" fontId="0" fillId="0" borderId="5" xfId="0" applyBorder="1" applyAlignment="1">
      <alignment horizontal="left" vertical="center"/>
    </xf>
    <xf numFmtId="0" fontId="6" fillId="5" borderId="2" xfId="0" applyFont="1" applyFill="1" applyBorder="1"/>
    <xf numFmtId="0" fontId="6" fillId="5" borderId="3" xfId="0" applyFont="1" applyFill="1" applyBorder="1"/>
    <xf numFmtId="0" fontId="0" fillId="5" borderId="6" xfId="0" applyFill="1" applyBorder="1"/>
    <xf numFmtId="0" fontId="0" fillId="5" borderId="4" xfId="0" applyFill="1" applyBorder="1"/>
    <xf numFmtId="0" fontId="6" fillId="6" borderId="2" xfId="0" applyFont="1" applyFill="1" applyBorder="1"/>
    <xf numFmtId="165" fontId="2" fillId="6" borderId="2" xfId="5" applyNumberFormat="1" applyFont="1" applyFill="1" applyBorder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8" borderId="5" xfId="0" applyFill="1" applyBorder="1"/>
    <xf numFmtId="2" fontId="0" fillId="0" borderId="0" xfId="0" applyNumberFormat="1"/>
    <xf numFmtId="0" fontId="0" fillId="6" borderId="2" xfId="0" applyFill="1" applyBorder="1"/>
    <xf numFmtId="165" fontId="6" fillId="0" borderId="2" xfId="0" applyNumberFormat="1" applyFont="1" applyBorder="1"/>
    <xf numFmtId="0" fontId="4" fillId="3" borderId="12" xfId="2" applyBorder="1"/>
    <xf numFmtId="0" fontId="0" fillId="0" borderId="2" xfId="0" applyBorder="1" applyAlignment="1">
      <alignment horizontal="left"/>
    </xf>
    <xf numFmtId="0" fontId="2" fillId="0" borderId="2" xfId="5" applyNumberFormat="1" applyFont="1" applyBorder="1" applyAlignment="1">
      <alignment horizontal="left"/>
    </xf>
    <xf numFmtId="0" fontId="2" fillId="0" borderId="0" xfId="6" applyNumberFormat="1" applyFont="1" applyFill="1" applyBorder="1"/>
    <xf numFmtId="0" fontId="2" fillId="0" borderId="2" xfId="5" applyNumberFormat="1" applyFont="1" applyBorder="1"/>
    <xf numFmtId="0" fontId="2" fillId="0" borderId="2" xfId="5" applyNumberFormat="1" applyFont="1" applyBorder="1" applyAlignment="1">
      <alignment horizontal="left" vertical="center"/>
    </xf>
    <xf numFmtId="164" fontId="3" fillId="3" borderId="2" xfId="5" applyFont="1" applyFill="1" applyBorder="1"/>
    <xf numFmtId="164" fontId="4" fillId="3" borderId="2" xfId="5" applyFont="1" applyFill="1" applyBorder="1"/>
    <xf numFmtId="164" fontId="2" fillId="0" borderId="5" xfId="5" applyFont="1" applyBorder="1"/>
    <xf numFmtId="164" fontId="4" fillId="3" borderId="9" xfId="5" applyFont="1" applyFill="1" applyBorder="1"/>
    <xf numFmtId="164" fontId="6" fillId="0" borderId="2" xfId="5" applyFont="1" applyBorder="1"/>
    <xf numFmtId="164" fontId="4" fillId="3" borderId="12" xfId="5" applyFont="1" applyFill="1" applyBorder="1"/>
    <xf numFmtId="164" fontId="2" fillId="0" borderId="3" xfId="5" applyFont="1" applyBorder="1"/>
    <xf numFmtId="164" fontId="2" fillId="0" borderId="4" xfId="5" applyFont="1" applyBorder="1"/>
    <xf numFmtId="164" fontId="3" fillId="3" borderId="13" xfId="5" applyFont="1" applyFill="1" applyBorder="1"/>
    <xf numFmtId="164" fontId="3" fillId="3" borderId="8" xfId="5" applyFont="1" applyFill="1" applyBorder="1"/>
    <xf numFmtId="164" fontId="0" fillId="0" borderId="0" xfId="0" applyNumberFormat="1"/>
    <xf numFmtId="0" fontId="0" fillId="10" borderId="2" xfId="0" applyFill="1" applyBorder="1"/>
    <xf numFmtId="164" fontId="4" fillId="3" borderId="9" xfId="2" applyNumberFormat="1"/>
    <xf numFmtId="0" fontId="6" fillId="0" borderId="7" xfId="0" applyFont="1" applyBorder="1"/>
    <xf numFmtId="0" fontId="0" fillId="0" borderId="7" xfId="0" applyBorder="1"/>
    <xf numFmtId="0" fontId="6" fillId="0" borderId="6" xfId="8" applyFont="1" applyBorder="1" applyAlignment="1">
      <alignment horizontal="right"/>
    </xf>
    <xf numFmtId="0" fontId="2" fillId="0" borderId="6" xfId="8" applyFont="1" applyBorder="1"/>
    <xf numFmtId="0" fontId="6" fillId="0" borderId="6" xfId="8" applyFont="1" applyBorder="1"/>
    <xf numFmtId="0" fontId="6" fillId="0" borderId="6" xfId="8" applyFont="1" applyBorder="1" applyAlignment="1">
      <alignment wrapText="1"/>
    </xf>
    <xf numFmtId="0" fontId="0" fillId="0" borderId="0" xfId="0" applyFont="1"/>
    <xf numFmtId="164" fontId="2" fillId="11" borderId="0" xfId="5" applyFont="1" applyFill="1"/>
    <xf numFmtId="0" fontId="6" fillId="11" borderId="6" xfId="8" applyFont="1" applyFill="1" applyBorder="1" applyAlignment="1">
      <alignment horizontal="left"/>
    </xf>
    <xf numFmtId="164" fontId="0" fillId="11" borderId="0" xfId="0" applyNumberFormat="1" applyFill="1"/>
    <xf numFmtId="164" fontId="2" fillId="12" borderId="0" xfId="5" applyFont="1" applyFill="1"/>
    <xf numFmtId="164" fontId="0" fillId="0" borderId="2" xfId="0" applyNumberFormat="1" applyBorder="1"/>
    <xf numFmtId="0" fontId="0" fillId="11" borderId="2" xfId="0" applyFill="1" applyBorder="1"/>
    <xf numFmtId="0" fontId="8" fillId="0" borderId="10" xfId="4" applyFont="1"/>
    <xf numFmtId="164" fontId="9" fillId="0" borderId="10" xfId="4" applyNumberFormat="1" applyFont="1"/>
    <xf numFmtId="164" fontId="10" fillId="0" borderId="10" xfId="4" applyNumberFormat="1" applyFont="1"/>
    <xf numFmtId="164" fontId="8" fillId="0" borderId="10" xfId="5" applyFont="1" applyBorder="1"/>
    <xf numFmtId="164" fontId="2" fillId="0" borderId="2" xfId="5" applyFont="1" applyBorder="1"/>
    <xf numFmtId="9" fontId="2" fillId="0" borderId="0" xfId="6" applyFont="1"/>
    <xf numFmtId="164" fontId="2" fillId="0" borderId="0" xfId="5" applyFont="1"/>
    <xf numFmtId="164" fontId="11" fillId="0" borderId="0" xfId="5" applyFont="1"/>
    <xf numFmtId="9" fontId="0" fillId="0" borderId="0" xfId="0" applyNumberFormat="1"/>
    <xf numFmtId="164" fontId="6" fillId="11" borderId="0" xfId="5" applyFont="1" applyFill="1"/>
    <xf numFmtId="164" fontId="10" fillId="0" borderId="0" xfId="5" applyFont="1"/>
    <xf numFmtId="0" fontId="12" fillId="0" borderId="0" xfId="0" applyFont="1"/>
    <xf numFmtId="0" fontId="4" fillId="3" borderId="14" xfId="2" applyBorder="1"/>
    <xf numFmtId="164" fontId="4" fillId="3" borderId="14" xfId="2" applyNumberFormat="1" applyBorder="1"/>
    <xf numFmtId="0" fontId="0" fillId="13" borderId="2" xfId="0" applyFill="1" applyBorder="1"/>
    <xf numFmtId="164" fontId="2" fillId="13" borderId="2" xfId="5" applyFont="1" applyFill="1" applyBorder="1"/>
    <xf numFmtId="165" fontId="4" fillId="13" borderId="14" xfId="2" applyNumberFormat="1" applyFill="1" applyBorder="1"/>
    <xf numFmtId="168" fontId="6" fillId="0" borderId="0" xfId="6" applyNumberFormat="1" applyFont="1"/>
    <xf numFmtId="165" fontId="2" fillId="0" borderId="2" xfId="5" applyNumberFormat="1" applyFont="1" applyBorder="1"/>
    <xf numFmtId="0" fontId="2" fillId="0" borderId="0" xfId="7"/>
    <xf numFmtId="0" fontId="2" fillId="0" borderId="0" xfId="7" applyFont="1"/>
    <xf numFmtId="0" fontId="2" fillId="6" borderId="0" xfId="7" applyFill="1"/>
    <xf numFmtId="0" fontId="13" fillId="0" borderId="0" xfId="0" applyFont="1"/>
    <xf numFmtId="0" fontId="0" fillId="6" borderId="0" xfId="0" applyFill="1"/>
    <xf numFmtId="0" fontId="14" fillId="0" borderId="0" xfId="7" applyFont="1" applyAlignment="1">
      <alignment wrapText="1"/>
    </xf>
    <xf numFmtId="0" fontId="6" fillId="0" borderId="6" xfId="7" applyFont="1" applyBorder="1" applyAlignment="1">
      <alignment horizontal="center"/>
    </xf>
    <xf numFmtId="0" fontId="6" fillId="0" borderId="0" xfId="7" applyFont="1" applyBorder="1" applyAlignment="1">
      <alignment horizontal="center"/>
    </xf>
    <xf numFmtId="0" fontId="6" fillId="0" borderId="0" xfId="7" applyFont="1" applyAlignment="1">
      <alignment horizontal="center" wrapText="1"/>
    </xf>
    <xf numFmtId="0" fontId="15" fillId="0" borderId="0" xfId="7" applyFont="1"/>
    <xf numFmtId="0" fontId="2" fillId="0" borderId="0" xfId="7" applyFont="1" applyAlignment="1">
      <alignment horizontal="center" wrapText="1"/>
    </xf>
    <xf numFmtId="0" fontId="2" fillId="6" borderId="6" xfId="7" applyFill="1" applyBorder="1"/>
    <xf numFmtId="3" fontId="2" fillId="6" borderId="6" xfId="7" applyNumberFormat="1" applyFill="1" applyBorder="1" applyAlignment="1">
      <alignment horizontal="center"/>
    </xf>
    <xf numFmtId="3" fontId="2" fillId="6" borderId="0" xfId="7" applyNumberFormat="1" applyFill="1" applyBorder="1" applyAlignment="1">
      <alignment horizontal="center"/>
    </xf>
    <xf numFmtId="0" fontId="2" fillId="14" borderId="6" xfId="7" applyFill="1" applyBorder="1"/>
    <xf numFmtId="3" fontId="2" fillId="14" borderId="6" xfId="7" applyNumberFormat="1" applyFill="1" applyBorder="1" applyAlignment="1">
      <alignment horizontal="center"/>
    </xf>
    <xf numFmtId="3" fontId="2" fillId="14" borderId="0" xfId="7" applyNumberFormat="1" applyFill="1" applyBorder="1" applyAlignment="1">
      <alignment horizontal="center"/>
    </xf>
    <xf numFmtId="0" fontId="2" fillId="15" borderId="6" xfId="7" applyFill="1" applyBorder="1"/>
    <xf numFmtId="3" fontId="2" fillId="15" borderId="6" xfId="7" applyNumberFormat="1" applyFill="1" applyBorder="1" applyAlignment="1">
      <alignment horizontal="center"/>
    </xf>
    <xf numFmtId="3" fontId="2" fillId="15" borderId="0" xfId="7" applyNumberFormat="1" applyFill="1" applyBorder="1" applyAlignment="1">
      <alignment horizontal="center"/>
    </xf>
    <xf numFmtId="0" fontId="2" fillId="14" borderId="6" xfId="7" applyFont="1" applyFill="1" applyBorder="1"/>
    <xf numFmtId="0" fontId="2" fillId="0" borderId="6" xfId="7" applyBorder="1"/>
    <xf numFmtId="3" fontId="2" fillId="0" borderId="6" xfId="7" applyNumberFormat="1" applyBorder="1" applyAlignment="1">
      <alignment horizontal="center"/>
    </xf>
    <xf numFmtId="3" fontId="2" fillId="0" borderId="0" xfId="7" applyNumberFormat="1" applyBorder="1" applyAlignment="1">
      <alignment horizontal="center"/>
    </xf>
    <xf numFmtId="0" fontId="2" fillId="0" borderId="6" xfId="7" applyFont="1" applyBorder="1"/>
    <xf numFmtId="3" fontId="6" fillId="0" borderId="0" xfId="7" applyNumberFormat="1" applyFont="1" applyAlignment="1">
      <alignment horizontal="center"/>
    </xf>
    <xf numFmtId="3" fontId="2" fillId="0" borderId="0" xfId="7" applyNumberFormat="1"/>
    <xf numFmtId="3" fontId="2" fillId="0" borderId="0" xfId="7" applyNumberFormat="1" applyAlignment="1">
      <alignment horizontal="center"/>
    </xf>
    <xf numFmtId="0" fontId="6" fillId="0" borderId="0" xfId="7" applyFont="1"/>
    <xf numFmtId="0" fontId="2" fillId="6" borderId="6" xfId="7" applyFont="1" applyFill="1" applyBorder="1"/>
    <xf numFmtId="0" fontId="2" fillId="15" borderId="6" xfId="7" applyFont="1" applyFill="1" applyBorder="1"/>
    <xf numFmtId="0" fontId="2" fillId="0" borderId="0" xfId="7" applyFont="1" applyBorder="1"/>
    <xf numFmtId="0" fontId="2" fillId="0" borderId="0" xfId="7" applyBorder="1"/>
    <xf numFmtId="0" fontId="15" fillId="0" borderId="6" xfId="8" applyFont="1" applyBorder="1" applyAlignment="1">
      <alignment wrapText="1"/>
    </xf>
    <xf numFmtId="0" fontId="2" fillId="0" borderId="6" xfId="8" applyFont="1" applyBorder="1" applyAlignment="1">
      <alignment wrapText="1"/>
    </xf>
    <xf numFmtId="0" fontId="2" fillId="0" borderId="0" xfId="8" applyFont="1" applyAlignment="1">
      <alignment wrapText="1"/>
    </xf>
    <xf numFmtId="0" fontId="2" fillId="6" borderId="6" xfId="8" applyFont="1" applyFill="1" applyBorder="1" applyAlignment="1">
      <alignment wrapText="1"/>
    </xf>
    <xf numFmtId="0" fontId="13" fillId="0" borderId="6" xfId="0" applyFont="1" applyBorder="1" applyAlignment="1">
      <alignment horizontal="center"/>
    </xf>
    <xf numFmtId="0" fontId="15" fillId="0" borderId="6" xfId="8" applyFont="1" applyBorder="1" applyAlignment="1">
      <alignment horizontal="left" wrapText="1"/>
    </xf>
    <xf numFmtId="0" fontId="2" fillId="0" borderId="6" xfId="8" applyBorder="1"/>
    <xf numFmtId="0" fontId="2" fillId="0" borderId="6" xfId="8" applyBorder="1" applyAlignment="1">
      <alignment horizontal="center"/>
    </xf>
    <xf numFmtId="0" fontId="2" fillId="6" borderId="6" xfId="8" applyFill="1" applyBorder="1" applyAlignment="1">
      <alignment horizontal="center"/>
    </xf>
    <xf numFmtId="0" fontId="6" fillId="0" borderId="6" xfId="8" applyFont="1" applyBorder="1" applyAlignment="1">
      <alignment horizontal="center"/>
    </xf>
    <xf numFmtId="0" fontId="2" fillId="0" borderId="6" xfId="7" applyBorder="1" applyAlignment="1">
      <alignment horizontal="center"/>
    </xf>
    <xf numFmtId="3" fontId="2" fillId="6" borderId="6" xfId="8" applyNumberFormat="1" applyFill="1" applyBorder="1" applyAlignment="1">
      <alignment horizontal="center"/>
    </xf>
    <xf numFmtId="0" fontId="2" fillId="0" borderId="6" xfId="8" applyBorder="1" applyAlignment="1">
      <alignment horizontal="center" wrapText="1"/>
    </xf>
    <xf numFmtId="0" fontId="2" fillId="0" borderId="6" xfId="7" applyBorder="1" applyAlignment="1">
      <alignment horizontal="center" wrapText="1"/>
    </xf>
    <xf numFmtId="3" fontId="6" fillId="0" borderId="6" xfId="8" applyNumberFormat="1" applyFont="1" applyBorder="1" applyAlignment="1">
      <alignment horizontal="center"/>
    </xf>
    <xf numFmtId="0" fontId="0" fillId="0" borderId="6" xfId="0" applyBorder="1"/>
    <xf numFmtId="0" fontId="2" fillId="0" borderId="6" xfId="8" applyFont="1" applyFill="1" applyBorder="1"/>
    <xf numFmtId="3" fontId="16" fillId="0" borderId="6" xfId="0" applyNumberFormat="1" applyFont="1" applyBorder="1" applyAlignment="1">
      <alignment horizontal="center"/>
    </xf>
    <xf numFmtId="0" fontId="2" fillId="0" borderId="0" xfId="8" applyFont="1" applyFill="1" applyBorder="1"/>
    <xf numFmtId="3" fontId="6" fillId="0" borderId="0" xfId="7" applyNumberFormat="1" applyFont="1" applyBorder="1" applyAlignment="1">
      <alignment horizontal="center"/>
    </xf>
    <xf numFmtId="0" fontId="2" fillId="0" borderId="6" xfId="7" applyFont="1" applyBorder="1" applyAlignment="1">
      <alignment horizontal="right"/>
    </xf>
    <xf numFmtId="3" fontId="17" fillId="0" borderId="6" xfId="7" applyNumberFormat="1" applyFont="1" applyBorder="1" applyAlignment="1">
      <alignment horizontal="center"/>
    </xf>
    <xf numFmtId="3" fontId="2" fillId="6" borderId="0" xfId="7" applyNumberFormat="1" applyFill="1"/>
    <xf numFmtId="0" fontId="6" fillId="15" borderId="6" xfId="7" applyFont="1" applyFill="1" applyBorder="1"/>
    <xf numFmtId="3" fontId="6" fillId="15" borderId="6" xfId="7" applyNumberFormat="1" applyFont="1" applyFill="1" applyBorder="1" applyAlignment="1">
      <alignment horizontal="center"/>
    </xf>
    <xf numFmtId="0" fontId="6" fillId="0" borderId="0" xfId="8" applyFont="1" applyAlignment="1">
      <alignment horizontal="right"/>
    </xf>
    <xf numFmtId="0" fontId="2" fillId="0" borderId="0" xfId="8"/>
    <xf numFmtId="0" fontId="6" fillId="0" borderId="0" xfId="8" applyFont="1"/>
    <xf numFmtId="3" fontId="6" fillId="0" borderId="0" xfId="8" applyNumberFormat="1" applyFont="1"/>
    <xf numFmtId="0" fontId="18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6" fontId="18" fillId="0" borderId="0" xfId="0" applyNumberFormat="1" applyFont="1" applyAlignment="1">
      <alignment horizontal="center" vertical="center" wrapText="1"/>
    </xf>
    <xf numFmtId="0" fontId="19" fillId="0" borderId="1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3" fontId="20" fillId="0" borderId="1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9" fontId="23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9" fontId="22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0" fontId="20" fillId="0" borderId="0" xfId="7" applyFont="1" applyAlignment="1">
      <alignment vertical="center" wrapText="1"/>
    </xf>
    <xf numFmtId="0" fontId="20" fillId="0" borderId="0" xfId="7" applyFont="1" applyAlignment="1">
      <alignment horizontal="center" vertical="center" wrapText="1"/>
    </xf>
    <xf numFmtId="0" fontId="19" fillId="0" borderId="0" xfId="7" applyFont="1" applyAlignment="1">
      <alignment horizontal="center" vertical="center" wrapText="1"/>
    </xf>
    <xf numFmtId="0" fontId="23" fillId="0" borderId="0" xfId="0" applyFont="1"/>
    <xf numFmtId="0" fontId="27" fillId="0" borderId="0" xfId="0" applyFont="1"/>
    <xf numFmtId="0" fontId="2" fillId="8" borderId="0" xfId="7" applyFill="1"/>
    <xf numFmtId="3" fontId="6" fillId="0" borderId="0" xfId="7" applyNumberFormat="1" applyFont="1"/>
    <xf numFmtId="0" fontId="2" fillId="8" borderId="0" xfId="7" applyFont="1" applyFill="1"/>
    <xf numFmtId="3" fontId="2" fillId="8" borderId="0" xfId="7" applyNumberFormat="1" applyFill="1"/>
    <xf numFmtId="3" fontId="2" fillId="0" borderId="0" xfId="7" applyNumberFormat="1" applyFont="1"/>
    <xf numFmtId="0" fontId="7" fillId="0" borderId="11" xfId="9"/>
    <xf numFmtId="0" fontId="16" fillId="0" borderId="0" xfId="0" applyFont="1"/>
    <xf numFmtId="3" fontId="16" fillId="0" borderId="0" xfId="0" applyNumberFormat="1" applyFont="1" applyAlignment="1">
      <alignment horizontal="center"/>
    </xf>
    <xf numFmtId="3" fontId="16" fillId="6" borderId="0" xfId="0" applyNumberFormat="1" applyFont="1" applyFill="1" applyAlignment="1">
      <alignment horizontal="center"/>
    </xf>
    <xf numFmtId="3" fontId="0" fillId="0" borderId="0" xfId="0" applyNumberFormat="1"/>
    <xf numFmtId="3" fontId="16" fillId="6" borderId="0" xfId="0" applyNumberFormat="1" applyFont="1" applyFill="1"/>
    <xf numFmtId="167" fontId="6" fillId="0" borderId="0" xfId="10" applyNumberFormat="1" applyFont="1" applyAlignment="1">
      <alignment horizontal="center"/>
    </xf>
    <xf numFmtId="167" fontId="6" fillId="6" borderId="0" xfId="10" applyNumberFormat="1" applyFont="1" applyFill="1" applyAlignment="1">
      <alignment horizontal="center"/>
    </xf>
    <xf numFmtId="0" fontId="13" fillId="0" borderId="0" xfId="0" applyFont="1" applyFill="1" applyBorder="1"/>
    <xf numFmtId="0" fontId="2" fillId="0" borderId="0" xfId="7" applyFont="1" applyAlignment="1">
      <alignment horizontal="right"/>
    </xf>
    <xf numFmtId="3" fontId="0" fillId="0" borderId="6" xfId="0" applyNumberFormat="1" applyBorder="1"/>
    <xf numFmtId="166" fontId="0" fillId="0" borderId="6" xfId="0" applyNumberFormat="1" applyBorder="1"/>
    <xf numFmtId="2" fontId="6" fillId="0" borderId="0" xfId="10" applyNumberFormat="1" applyFont="1" applyAlignment="1">
      <alignment horizontal="center"/>
    </xf>
    <xf numFmtId="166" fontId="0" fillId="6" borderId="6" xfId="0" applyNumberFormat="1" applyFill="1" applyBorder="1"/>
    <xf numFmtId="166" fontId="16" fillId="6" borderId="6" xfId="0" applyNumberFormat="1" applyFont="1" applyFill="1" applyBorder="1"/>
    <xf numFmtId="2" fontId="6" fillId="0" borderId="6" xfId="10" applyNumberFormat="1" applyFont="1" applyBorder="1"/>
    <xf numFmtId="2" fontId="2" fillId="0" borderId="6" xfId="10" applyNumberFormat="1" applyFont="1" applyBorder="1"/>
    <xf numFmtId="2" fontId="2" fillId="0" borderId="6" xfId="10" applyNumberFormat="1" applyFont="1" applyFill="1" applyBorder="1" applyAlignment="1">
      <alignment wrapText="1"/>
    </xf>
    <xf numFmtId="2" fontId="2" fillId="0" borderId="6" xfId="10" applyNumberFormat="1" applyFill="1" applyBorder="1" applyAlignment="1">
      <alignment wrapText="1"/>
    </xf>
    <xf numFmtId="0" fontId="16" fillId="0" borderId="6" xfId="0" applyFont="1" applyBorder="1" applyAlignment="1">
      <alignment horizontal="left"/>
    </xf>
    <xf numFmtId="0" fontId="13" fillId="0" borderId="6" xfId="0" applyFont="1" applyBorder="1" applyAlignment="1">
      <alignment horizontal="right"/>
    </xf>
    <xf numFmtId="0" fontId="13" fillId="0" borderId="6" xfId="0" applyFont="1" applyBorder="1"/>
    <xf numFmtId="0" fontId="13" fillId="0" borderId="6" xfId="0" applyFont="1" applyBorder="1" applyAlignment="1">
      <alignment wrapText="1"/>
    </xf>
    <xf numFmtId="3" fontId="2" fillId="0" borderId="6" xfId="10" applyNumberFormat="1" applyFill="1" applyBorder="1" applyAlignment="1">
      <alignment horizontal="center"/>
    </xf>
    <xf numFmtId="0" fontId="13" fillId="6" borderId="6" xfId="0" applyFont="1" applyFill="1" applyBorder="1" applyAlignment="1">
      <alignment horizontal="right"/>
    </xf>
    <xf numFmtId="3" fontId="0" fillId="6" borderId="6" xfId="0" applyNumberFormat="1" applyFill="1" applyBorder="1"/>
    <xf numFmtId="3" fontId="16" fillId="0" borderId="6" xfId="0" applyNumberFormat="1" applyFont="1" applyBorder="1"/>
    <xf numFmtId="3" fontId="0" fillId="0" borderId="0" xfId="0" applyNumberFormat="1" applyFill="1" applyAlignment="1">
      <alignment horizontal="center"/>
    </xf>
    <xf numFmtId="2" fontId="2" fillId="0" borderId="0" xfId="10" applyNumberFormat="1" applyFont="1" applyFill="1" applyBorder="1"/>
    <xf numFmtId="167" fontId="6" fillId="6" borderId="6" xfId="10" applyNumberFormat="1" applyFont="1" applyFill="1" applyBorder="1" applyAlignment="1">
      <alignment horizontal="center"/>
    </xf>
    <xf numFmtId="167" fontId="6" fillId="0" borderId="6" xfId="10" applyNumberFormat="1" applyFont="1" applyFill="1" applyBorder="1" applyAlignment="1">
      <alignment horizontal="center"/>
    </xf>
    <xf numFmtId="2" fontId="2" fillId="0" borderId="6" xfId="10" applyNumberFormat="1" applyFill="1" applyBorder="1" applyAlignment="1">
      <alignment horizontal="center"/>
    </xf>
    <xf numFmtId="0" fontId="29" fillId="0" borderId="6" xfId="0" applyFont="1" applyBorder="1"/>
    <xf numFmtId="0" fontId="6" fillId="15" borderId="6" xfId="10" applyFont="1" applyFill="1" applyBorder="1" applyAlignment="1">
      <alignment wrapText="1"/>
    </xf>
    <xf numFmtId="0" fontId="2" fillId="0" borderId="6" xfId="10" applyFont="1" applyFill="1" applyBorder="1" applyAlignment="1">
      <alignment wrapText="1"/>
    </xf>
    <xf numFmtId="0" fontId="6" fillId="6" borderId="0" xfId="10" applyFont="1" applyFill="1" applyBorder="1" applyAlignment="1">
      <alignment wrapText="1"/>
    </xf>
    <xf numFmtId="0" fontId="2" fillId="0" borderId="0" xfId="10" applyFont="1" applyFill="1" applyBorder="1" applyAlignment="1">
      <alignment wrapText="1"/>
    </xf>
    <xf numFmtId="0" fontId="6" fillId="0" borderId="0" xfId="10" applyFont="1" applyFill="1" applyBorder="1" applyAlignment="1">
      <alignment wrapText="1"/>
    </xf>
    <xf numFmtId="17" fontId="0" fillId="0" borderId="0" xfId="0" applyNumberFormat="1"/>
    <xf numFmtId="0" fontId="2" fillId="0" borderId="6" xfId="10" applyFont="1" applyFill="1" applyBorder="1"/>
    <xf numFmtId="0" fontId="0" fillId="0" borderId="6" xfId="0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30" fillId="0" borderId="6" xfId="0" applyNumberFormat="1" applyFont="1" applyBorder="1" applyAlignment="1">
      <alignment horizontal="center"/>
    </xf>
    <xf numFmtId="2" fontId="31" fillId="0" borderId="6" xfId="10" applyNumberFormat="1" applyFont="1" applyBorder="1"/>
    <xf numFmtId="0" fontId="31" fillId="0" borderId="6" xfId="10" applyFont="1" applyFill="1" applyBorder="1"/>
    <xf numFmtId="2" fontId="32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69" fontId="0" fillId="15" borderId="6" xfId="0" applyNumberFormat="1" applyFill="1" applyBorder="1" applyAlignment="1">
      <alignment horizontal="center"/>
    </xf>
    <xf numFmtId="0" fontId="6" fillId="0" borderId="6" xfId="10" applyFont="1" applyFill="1" applyBorder="1"/>
    <xf numFmtId="169" fontId="16" fillId="0" borderId="6" xfId="0" applyNumberFormat="1" applyFont="1" applyBorder="1" applyAlignment="1">
      <alignment horizontal="center"/>
    </xf>
    <xf numFmtId="2" fontId="33" fillId="0" borderId="6" xfId="10" applyNumberFormat="1" applyFont="1" applyBorder="1"/>
    <xf numFmtId="0" fontId="33" fillId="0" borderId="6" xfId="10" applyFont="1" applyFill="1" applyBorder="1"/>
    <xf numFmtId="1" fontId="34" fillId="0" borderId="6" xfId="0" applyNumberFormat="1" applyFont="1" applyBorder="1" applyAlignment="1">
      <alignment horizontal="center"/>
    </xf>
    <xf numFmtId="169" fontId="34" fillId="15" borderId="6" xfId="0" applyNumberFormat="1" applyFont="1" applyFill="1" applyBorder="1" applyAlignment="1">
      <alignment horizontal="center"/>
    </xf>
    <xf numFmtId="169" fontId="34" fillId="0" borderId="6" xfId="0" applyNumberFormat="1" applyFont="1" applyBorder="1" applyAlignment="1">
      <alignment horizontal="center"/>
    </xf>
    <xf numFmtId="169" fontId="35" fillId="0" borderId="6" xfId="0" applyNumberFormat="1" applyFont="1" applyBorder="1" applyAlignment="1">
      <alignment horizontal="center"/>
    </xf>
    <xf numFmtId="2" fontId="36" fillId="0" borderId="0" xfId="10" applyNumberFormat="1" applyFont="1" applyFill="1" applyBorder="1"/>
    <xf numFmtId="0" fontId="37" fillId="0" borderId="0" xfId="10" applyFont="1" applyFill="1" applyBorder="1"/>
    <xf numFmtId="1" fontId="38" fillId="0" borderId="0" xfId="0" applyNumberFormat="1" applyFont="1" applyAlignment="1">
      <alignment horizontal="center"/>
    </xf>
    <xf numFmtId="169" fontId="38" fillId="15" borderId="0" xfId="0" applyNumberFormat="1" applyFont="1" applyFill="1" applyAlignment="1">
      <alignment horizontal="center"/>
    </xf>
    <xf numFmtId="169" fontId="38" fillId="0" borderId="0" xfId="0" applyNumberFormat="1" applyFont="1" applyAlignment="1">
      <alignment horizontal="center"/>
    </xf>
    <xf numFmtId="169" fontId="39" fillId="0" borderId="6" xfId="0" applyNumberFormat="1" applyFont="1" applyBorder="1" applyAlignment="1">
      <alignment horizontal="center"/>
    </xf>
    <xf numFmtId="2" fontId="9" fillId="0" borderId="6" xfId="10" applyNumberFormat="1" applyFont="1" applyBorder="1"/>
    <xf numFmtId="0" fontId="9" fillId="0" borderId="6" xfId="10" applyFont="1" applyFill="1" applyBorder="1"/>
    <xf numFmtId="1" fontId="39" fillId="0" borderId="6" xfId="0" applyNumberFormat="1" applyFont="1" applyBorder="1" applyAlignment="1">
      <alignment horizontal="center"/>
    </xf>
    <xf numFmtId="169" fontId="39" fillId="15" borderId="6" xfId="0" applyNumberFormat="1" applyFont="1" applyFill="1" applyBorder="1" applyAlignment="1">
      <alignment horizontal="center"/>
    </xf>
    <xf numFmtId="0" fontId="40" fillId="0" borderId="0" xfId="0" applyFont="1"/>
    <xf numFmtId="0" fontId="40" fillId="6" borderId="0" xfId="0" applyFont="1" applyFill="1"/>
    <xf numFmtId="167" fontId="0" fillId="0" borderId="0" xfId="0" applyNumberFormat="1" applyAlignment="1">
      <alignment horizontal="center"/>
    </xf>
    <xf numFmtId="167" fontId="16" fillId="0" borderId="0" xfId="0" applyNumberFormat="1" applyFont="1" applyAlignment="1">
      <alignment horizontal="center"/>
    </xf>
    <xf numFmtId="2" fontId="6" fillId="0" borderId="6" xfId="10" applyNumberFormat="1" applyFont="1" applyFill="1" applyBorder="1"/>
    <xf numFmtId="0" fontId="16" fillId="0" borderId="6" xfId="0" applyFont="1" applyBorder="1"/>
    <xf numFmtId="167" fontId="16" fillId="0" borderId="6" xfId="0" applyNumberFormat="1" applyFont="1" applyBorder="1" applyAlignment="1">
      <alignment horizontal="center"/>
    </xf>
    <xf numFmtId="167" fontId="39" fillId="0" borderId="0" xfId="0" applyNumberFormat="1" applyFont="1" applyAlignment="1">
      <alignment horizontal="center"/>
    </xf>
    <xf numFmtId="167" fontId="39" fillId="0" borderId="6" xfId="0" applyNumberFormat="1" applyFont="1" applyBorder="1" applyAlignment="1">
      <alignment horizontal="center"/>
    </xf>
    <xf numFmtId="0" fontId="2" fillId="0" borderId="0" xfId="11" applyFont="1"/>
    <xf numFmtId="0" fontId="2" fillId="0" borderId="0" xfId="11"/>
    <xf numFmtId="167" fontId="41" fillId="0" borderId="0" xfId="12" applyNumberFormat="1" applyFill="1" applyBorder="1">
      <alignment horizontal="center" vertical="center" shrinkToFit="1"/>
      <protection locked="0"/>
    </xf>
    <xf numFmtId="169" fontId="41" fillId="0" borderId="0" xfId="12" applyNumberFormat="1" applyFill="1" applyBorder="1">
      <alignment horizontal="center" vertical="center" shrinkToFit="1"/>
      <protection locked="0"/>
    </xf>
    <xf numFmtId="0" fontId="41" fillId="0" borderId="0" xfId="12" applyFill="1" applyBorder="1">
      <alignment horizontal="center" vertical="center" shrinkToFit="1"/>
      <protection locked="0"/>
    </xf>
    <xf numFmtId="0" fontId="41" fillId="0" borderId="1" xfId="12" applyFill="1" applyBorder="1">
      <alignment horizontal="center" vertical="center" shrinkToFit="1"/>
      <protection locked="0"/>
    </xf>
    <xf numFmtId="0" fontId="0" fillId="10" borderId="0" xfId="0" applyFill="1"/>
    <xf numFmtId="0" fontId="16" fillId="0" borderId="0" xfId="0" applyFont="1" applyBorder="1"/>
    <xf numFmtId="0" fontId="0" fillId="0" borderId="0" xfId="0" applyBorder="1"/>
    <xf numFmtId="0" fontId="0" fillId="0" borderId="17" xfId="0" applyBorder="1"/>
    <xf numFmtId="0" fontId="16" fillId="10" borderId="7" xfId="0" applyFont="1" applyFill="1" applyBorder="1"/>
    <xf numFmtId="0" fontId="16" fillId="10" borderId="0" xfId="0" applyFont="1" applyFill="1" applyBorder="1"/>
    <xf numFmtId="0" fontId="0" fillId="10" borderId="0" xfId="0" applyFill="1" applyBorder="1"/>
    <xf numFmtId="0" fontId="0" fillId="10" borderId="17" xfId="0" applyFill="1" applyBorder="1"/>
    <xf numFmtId="0" fontId="16" fillId="10" borderId="0" xfId="0" applyFont="1" applyFill="1"/>
    <xf numFmtId="0" fontId="16" fillId="17" borderId="0" xfId="0" applyFont="1" applyFill="1"/>
    <xf numFmtId="0" fontId="0" fillId="17" borderId="0" xfId="0" applyFill="1"/>
    <xf numFmtId="3" fontId="13" fillId="0" borderId="6" xfId="0" applyNumberFormat="1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Font="1" applyBorder="1" applyAlignment="1">
      <alignment wrapText="1"/>
    </xf>
    <xf numFmtId="0" fontId="16" fillId="10" borderId="3" xfId="0" applyFont="1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13" fillId="10" borderId="6" xfId="0" applyFont="1" applyFill="1" applyBorder="1"/>
    <xf numFmtId="0" fontId="13" fillId="10" borderId="4" xfId="0" applyFont="1" applyFill="1" applyBorder="1" applyAlignment="1">
      <alignment wrapText="1"/>
    </xf>
    <xf numFmtId="0" fontId="16" fillId="10" borderId="6" xfId="0" applyFont="1" applyFill="1" applyBorder="1" applyAlignment="1">
      <alignment wrapText="1"/>
    </xf>
    <xf numFmtId="0" fontId="0" fillId="10" borderId="6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17" borderId="6" xfId="0" applyFill="1" applyBorder="1" applyAlignment="1">
      <alignment wrapText="1"/>
    </xf>
    <xf numFmtId="0" fontId="13" fillId="17" borderId="6" xfId="0" applyFont="1" applyFill="1" applyBorder="1"/>
    <xf numFmtId="0" fontId="13" fillId="17" borderId="4" xfId="0" applyFont="1" applyFill="1" applyBorder="1" applyAlignment="1">
      <alignment wrapText="1"/>
    </xf>
    <xf numFmtId="3" fontId="13" fillId="0" borderId="6" xfId="0" applyNumberFormat="1" applyFont="1" applyBorder="1" applyAlignment="1">
      <alignment horizontal="center" wrapText="1"/>
    </xf>
    <xf numFmtId="3" fontId="13" fillId="0" borderId="3" xfId="0" applyNumberFormat="1" applyFont="1" applyBorder="1" applyAlignment="1">
      <alignment horizontal="center" wrapText="1"/>
    </xf>
    <xf numFmtId="3" fontId="13" fillId="0" borderId="4" xfId="0" applyNumberFormat="1" applyFont="1" applyBorder="1" applyAlignment="1">
      <alignment horizontal="center" wrapText="1"/>
    </xf>
    <xf numFmtId="0" fontId="0" fillId="0" borderId="0" xfId="0" applyAlignment="1"/>
    <xf numFmtId="0" fontId="15" fillId="0" borderId="6" xfId="8" applyFont="1" applyBorder="1" applyAlignment="1">
      <alignment horizontal="left"/>
    </xf>
    <xf numFmtId="3" fontId="13" fillId="0" borderId="3" xfId="0" applyNumberFormat="1" applyFont="1" applyBorder="1" applyAlignment="1">
      <alignment horizontal="center"/>
    </xf>
    <xf numFmtId="3" fontId="13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3" fontId="16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5" fillId="4" borderId="9" xfId="3" applyNumberFormat="1" applyAlignment="1">
      <alignment horizontal="center"/>
    </xf>
    <xf numFmtId="3" fontId="3" fillId="3" borderId="8" xfId="1" applyNumberFormat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16" fillId="6" borderId="6" xfId="0" applyNumberFormat="1" applyFont="1" applyFill="1" applyBorder="1" applyAlignment="1">
      <alignment horizontal="center"/>
    </xf>
    <xf numFmtId="3" fontId="4" fillId="3" borderId="9" xfId="2" applyNumberFormat="1" applyAlignment="1">
      <alignment horizontal="center"/>
    </xf>
    <xf numFmtId="3" fontId="1" fillId="2" borderId="3" xfId="13" applyNumberForma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2" fillId="0" borderId="6" xfId="8" applyNumberFormat="1" applyBorder="1" applyAlignment="1">
      <alignment horizontal="center"/>
    </xf>
    <xf numFmtId="1" fontId="6" fillId="0" borderId="6" xfId="8" applyNumberFormat="1" applyFont="1" applyBorder="1" applyAlignment="1">
      <alignment horizontal="center"/>
    </xf>
    <xf numFmtId="0" fontId="2" fillId="0" borderId="6" xfId="8" applyFill="1" applyBorder="1" applyAlignment="1">
      <alignment horizontal="center"/>
    </xf>
    <xf numFmtId="170" fontId="13" fillId="0" borderId="6" xfId="0" applyNumberFormat="1" applyFont="1" applyBorder="1" applyAlignment="1">
      <alignment horizontal="center"/>
    </xf>
    <xf numFmtId="0" fontId="2" fillId="0" borderId="0" xfId="8" applyFont="1" applyFill="1"/>
    <xf numFmtId="0" fontId="2" fillId="0" borderId="0" xfId="8" applyFill="1"/>
    <xf numFmtId="3" fontId="0" fillId="0" borderId="0" xfId="0" applyNumberFormat="1" applyAlignment="1">
      <alignment horizontal="center"/>
    </xf>
    <xf numFmtId="0" fontId="13" fillId="0" borderId="4" xfId="0" applyFont="1" applyBorder="1"/>
    <xf numFmtId="0" fontId="13" fillId="0" borderId="0" xfId="0" applyFont="1" applyBorder="1"/>
    <xf numFmtId="0" fontId="13" fillId="0" borderId="17" xfId="0" applyFont="1" applyBorder="1"/>
    <xf numFmtId="0" fontId="13" fillId="0" borderId="3" xfId="0" applyFont="1" applyBorder="1"/>
    <xf numFmtId="3" fontId="0" fillId="0" borderId="4" xfId="0" applyNumberFormat="1" applyBorder="1"/>
    <xf numFmtId="3" fontId="16" fillId="0" borderId="0" xfId="0" applyNumberFormat="1" applyFont="1"/>
    <xf numFmtId="3" fontId="16" fillId="0" borderId="4" xfId="0" applyNumberFormat="1" applyFont="1" applyBorder="1"/>
    <xf numFmtId="3" fontId="13" fillId="0" borderId="0" xfId="0" applyNumberFormat="1" applyFont="1"/>
    <xf numFmtId="0" fontId="15" fillId="0" borderId="0" xfId="8" applyFont="1" applyFill="1"/>
    <xf numFmtId="3" fontId="0" fillId="6" borderId="0" xfId="0" applyNumberFormat="1" applyFill="1"/>
    <xf numFmtId="0" fontId="2" fillId="0" borderId="0" xfId="7" applyAlignment="1">
      <alignment wrapText="1"/>
    </xf>
    <xf numFmtId="0" fontId="2" fillId="0" borderId="0" xfId="7" applyFont="1" applyAlignment="1">
      <alignment wrapText="1"/>
    </xf>
    <xf numFmtId="2" fontId="2" fillId="6" borderId="0" xfId="7" applyNumberFormat="1" applyFill="1"/>
    <xf numFmtId="0" fontId="2" fillId="0" borderId="18" xfId="7" applyFont="1" applyBorder="1"/>
    <xf numFmtId="169" fontId="2" fillId="0" borderId="0" xfId="7" applyNumberFormat="1"/>
    <xf numFmtId="3" fontId="42" fillId="8" borderId="6" xfId="0" applyNumberFormat="1" applyFont="1" applyFill="1" applyBorder="1" applyAlignment="1">
      <alignment horizontal="center" wrapText="1"/>
    </xf>
    <xf numFmtId="169" fontId="6" fillId="0" borderId="6" xfId="7" applyNumberFormat="1" applyFont="1" applyBorder="1"/>
    <xf numFmtId="169" fontId="2" fillId="0" borderId="18" xfId="7" applyNumberFormat="1" applyBorder="1"/>
    <xf numFmtId="0" fontId="2" fillId="0" borderId="18" xfId="7" applyBorder="1"/>
    <xf numFmtId="0" fontId="6" fillId="0" borderId="6" xfId="7" applyFont="1" applyBorder="1" applyAlignment="1">
      <alignment wrapText="1"/>
    </xf>
    <xf numFmtId="169" fontId="2" fillId="0" borderId="6" xfId="7" applyNumberFormat="1" applyFont="1" applyBorder="1" applyAlignment="1">
      <alignment horizontal="center" wrapText="1"/>
    </xf>
    <xf numFmtId="169" fontId="2" fillId="0" borderId="6" xfId="7" applyNumberFormat="1" applyFont="1" applyBorder="1" applyAlignment="1">
      <alignment wrapText="1"/>
    </xf>
    <xf numFmtId="0" fontId="2" fillId="0" borderId="6" xfId="7" applyFont="1" applyBorder="1" applyAlignment="1">
      <alignment wrapText="1"/>
    </xf>
    <xf numFmtId="169" fontId="6" fillId="0" borderId="6" xfId="7" applyNumberFormat="1" applyFont="1" applyBorder="1" applyAlignment="1">
      <alignment horizontal="center" wrapText="1"/>
    </xf>
    <xf numFmtId="169" fontId="6" fillId="8" borderId="6" xfId="7" applyNumberFormat="1" applyFont="1" applyFill="1" applyBorder="1" applyAlignment="1">
      <alignment horizontal="center" wrapText="1"/>
    </xf>
    <xf numFmtId="3" fontId="42" fillId="0" borderId="6" xfId="0" applyNumberFormat="1" applyFont="1" applyBorder="1" applyAlignment="1">
      <alignment horizontal="center" wrapText="1"/>
    </xf>
    <xf numFmtId="3" fontId="42" fillId="0" borderId="6" xfId="0" applyNumberFormat="1" applyFont="1" applyBorder="1" applyAlignment="1">
      <alignment wrapText="1"/>
    </xf>
    <xf numFmtId="0" fontId="6" fillId="0" borderId="6" xfId="7" applyFont="1" applyBorder="1" applyAlignment="1">
      <alignment horizontal="center" wrapText="1"/>
    </xf>
    <xf numFmtId="169" fontId="2" fillId="0" borderId="0" xfId="7" applyNumberFormat="1" applyFont="1" applyAlignment="1">
      <alignment horizontal="center"/>
    </xf>
    <xf numFmtId="0" fontId="6" fillId="0" borderId="0" xfId="7" applyFont="1" applyAlignment="1">
      <alignment horizontal="right" wrapText="1"/>
    </xf>
    <xf numFmtId="0" fontId="2" fillId="6" borderId="0" xfId="7" applyFont="1" applyFill="1"/>
    <xf numFmtId="0" fontId="0" fillId="0" borderId="0" xfId="0" applyFill="1"/>
    <xf numFmtId="0" fontId="6" fillId="6" borderId="0" xfId="7" applyFont="1" applyFill="1"/>
    <xf numFmtId="0" fontId="6" fillId="0" borderId="0" xfId="7" applyFont="1" applyFill="1"/>
    <xf numFmtId="3" fontId="6" fillId="6" borderId="0" xfId="7" applyNumberFormat="1" applyFont="1" applyFill="1"/>
    <xf numFmtId="3" fontId="2" fillId="0" borderId="0" xfId="7" applyNumberFormat="1" applyFill="1"/>
    <xf numFmtId="0" fontId="13" fillId="0" borderId="0" xfId="0" applyFont="1" applyAlignment="1">
      <alignment horizontal="right"/>
    </xf>
    <xf numFmtId="0" fontId="13" fillId="15" borderId="0" xfId="0" applyFont="1" applyFill="1" applyAlignment="1">
      <alignment horizontal="right"/>
    </xf>
    <xf numFmtId="0" fontId="2" fillId="0" borderId="0" xfId="7" applyFont="1" applyFill="1"/>
    <xf numFmtId="10" fontId="6" fillId="0" borderId="0" xfId="7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0" fontId="29" fillId="0" borderId="0" xfId="0" applyFont="1"/>
    <xf numFmtId="4" fontId="0" fillId="0" borderId="0" xfId="0" applyNumberFormat="1"/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3" fontId="16" fillId="0" borderId="0" xfId="0" applyNumberFormat="1" applyFont="1" applyFill="1"/>
    <xf numFmtId="3" fontId="6" fillId="0" borderId="0" xfId="7" applyNumberFormat="1" applyFont="1" applyFill="1"/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16" fillId="0" borderId="0" xfId="0" applyNumberFormat="1" applyFont="1"/>
    <xf numFmtId="4" fontId="13" fillId="0" borderId="0" xfId="0" applyNumberFormat="1" applyFont="1"/>
    <xf numFmtId="4" fontId="13" fillId="0" borderId="0" xfId="0" applyNumberFormat="1" applyFont="1" applyAlignment="1">
      <alignment horizontal="right"/>
    </xf>
    <xf numFmtId="0" fontId="6" fillId="6" borderId="6" xfId="8" applyFont="1" applyFill="1" applyBorder="1" applyAlignment="1">
      <alignment wrapText="1"/>
    </xf>
    <xf numFmtId="0" fontId="0" fillId="0" borderId="6" xfId="0" applyBorder="1" applyAlignment="1"/>
    <xf numFmtId="3" fontId="2" fillId="0" borderId="6" xfId="8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3" fontId="16" fillId="0" borderId="0" xfId="0" applyNumberFormat="1" applyFont="1" applyAlignment="1">
      <alignment horizontal="left" wrapText="1"/>
    </xf>
    <xf numFmtId="3" fontId="13" fillId="0" borderId="0" xfId="0" applyNumberFormat="1" applyFont="1" applyAlignment="1">
      <alignment horizontal="left" wrapText="1"/>
    </xf>
    <xf numFmtId="3" fontId="0" fillId="0" borderId="0" xfId="0" applyNumberFormat="1" applyFont="1" applyAlignment="1">
      <alignment horizontal="left" wrapText="1"/>
    </xf>
    <xf numFmtId="3" fontId="16" fillId="0" borderId="6" xfId="0" applyNumberFormat="1" applyFont="1" applyBorder="1" applyAlignment="1">
      <alignment horizontal="left" wrapText="1"/>
    </xf>
    <xf numFmtId="3" fontId="0" fillId="0" borderId="6" xfId="0" applyNumberFormat="1" applyFont="1" applyBorder="1" applyAlignment="1">
      <alignment horizontal="left" wrapText="1"/>
    </xf>
    <xf numFmtId="3" fontId="13" fillId="0" borderId="6" xfId="0" applyNumberFormat="1" applyFont="1" applyBorder="1" applyAlignment="1">
      <alignment horizontal="left" wrapText="1"/>
    </xf>
    <xf numFmtId="0" fontId="13" fillId="6" borderId="0" xfId="0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0" fontId="0" fillId="15" borderId="6" xfId="0" applyFill="1" applyBorder="1"/>
    <xf numFmtId="3" fontId="0" fillId="15" borderId="6" xfId="0" applyNumberFormat="1" applyFill="1" applyBorder="1" applyAlignment="1">
      <alignment horizontal="center"/>
    </xf>
    <xf numFmtId="0" fontId="0" fillId="15" borderId="0" xfId="0" applyFill="1"/>
    <xf numFmtId="3" fontId="0" fillId="15" borderId="0" xfId="0" applyNumberFormat="1" applyFill="1" applyAlignment="1">
      <alignment horizontal="left"/>
    </xf>
    <xf numFmtId="0" fontId="0" fillId="15" borderId="0" xfId="0" applyFill="1" applyBorder="1"/>
    <xf numFmtId="3" fontId="0" fillId="15" borderId="0" xfId="0" applyNumberFormat="1" applyFill="1" applyBorder="1" applyAlignment="1">
      <alignment horizontal="center"/>
    </xf>
    <xf numFmtId="4" fontId="30" fillId="0" borderId="0" xfId="0" applyNumberFormat="1" applyFont="1" applyAlignment="1">
      <alignment horizontal="center"/>
    </xf>
    <xf numFmtId="0" fontId="6" fillId="0" borderId="0" xfId="8" applyFont="1" applyFill="1"/>
    <xf numFmtId="3" fontId="13" fillId="6" borderId="0" xfId="0" applyNumberFormat="1" applyFont="1" applyFill="1"/>
    <xf numFmtId="10" fontId="16" fillId="6" borderId="0" xfId="0" applyNumberFormat="1" applyFont="1" applyFill="1"/>
    <xf numFmtId="3" fontId="2" fillId="0" borderId="0" xfId="8" applyNumberFormat="1" applyFill="1" applyBorder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Alignment="1">
      <alignment wrapText="1"/>
    </xf>
    <xf numFmtId="171" fontId="0" fillId="0" borderId="6" xfId="0" applyNumberFormat="1" applyBorder="1" applyAlignment="1">
      <alignment horizontal="center"/>
    </xf>
    <xf numFmtId="0" fontId="13" fillId="0" borderId="6" xfId="0" applyFont="1" applyBorder="1" applyAlignment="1">
      <alignment horizontal="left"/>
    </xf>
    <xf numFmtId="3" fontId="13" fillId="0" borderId="6" xfId="0" applyNumberFormat="1" applyFont="1" applyBorder="1" applyAlignment="1">
      <alignment horizontal="left"/>
    </xf>
    <xf numFmtId="0" fontId="16" fillId="6" borderId="0" xfId="0" applyFont="1" applyFill="1"/>
    <xf numFmtId="0" fontId="13" fillId="15" borderId="0" xfId="0" applyFont="1" applyFill="1"/>
    <xf numFmtId="3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7" applyFont="1" applyAlignment="1">
      <alignment horizontal="left" wrapText="1"/>
    </xf>
    <xf numFmtId="167" fontId="0" fillId="0" borderId="0" xfId="0" applyNumberFormat="1" applyAlignment="1">
      <alignment horizontal="right"/>
    </xf>
    <xf numFmtId="43" fontId="0" fillId="0" borderId="0" xfId="0" applyNumberFormat="1"/>
    <xf numFmtId="0" fontId="0" fillId="5" borderId="6" xfId="0" applyFill="1" applyBorder="1" applyAlignment="1">
      <alignment horizontal="center"/>
    </xf>
    <xf numFmtId="0" fontId="45" fillId="18" borderId="19" xfId="0" applyFont="1" applyFill="1" applyBorder="1" applyAlignment="1">
      <alignment horizontal="center" vertical="center" wrapText="1"/>
    </xf>
    <xf numFmtId="0" fontId="45" fillId="19" borderId="19" xfId="0" applyFont="1" applyFill="1" applyBorder="1" applyAlignment="1">
      <alignment horizontal="center" vertical="center" wrapText="1"/>
    </xf>
    <xf numFmtId="9" fontId="0" fillId="0" borderId="0" xfId="6" applyFont="1"/>
    <xf numFmtId="10" fontId="0" fillId="0" borderId="0" xfId="6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4">
    <cellStyle name="Accent6" xfId="13"/>
    <cellStyle name="Ausgabe" xfId="1" builtinId="21"/>
    <cellStyle name="Berechnung" xfId="2" builtinId="22"/>
    <cellStyle name="Eingabe" xfId="3" builtinId="20"/>
    <cellStyle name="Eingabe1" xfId="12"/>
    <cellStyle name="Ergebnis" xfId="4" builtinId="25"/>
    <cellStyle name="Komma" xfId="5" builtinId="3"/>
    <cellStyle name="Prozent" xfId="6" builtinId="5"/>
    <cellStyle name="Standard" xfId="0" builtinId="0"/>
    <cellStyle name="Standard 11" xfId="7"/>
    <cellStyle name="Standard 13" xfId="10"/>
    <cellStyle name="Standard 5 2" xfId="8"/>
    <cellStyle name="Standard 6" xfId="11"/>
    <cellStyle name="Überschrift 1" xfId="9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factors!$E$1</c:f>
              <c:strCache>
                <c:ptCount val="1"/>
                <c:pt idx="0">
                  <c:v>Strombedarf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factors!$E$2:$E$20</c:f>
              <c:numCache>
                <c:formatCode>0%</c:formatCode>
                <c:ptCount val="19"/>
                <c:pt idx="0">
                  <c:v>1.2331176672022346</c:v>
                </c:pt>
                <c:pt idx="1">
                  <c:v>1.1528043828161396</c:v>
                </c:pt>
                <c:pt idx="2">
                  <c:v>1.1961340777209253</c:v>
                </c:pt>
                <c:pt idx="3">
                  <c:v>1.238160031805676</c:v>
                </c:pt>
                <c:pt idx="4">
                  <c:v>1.3197351278613954</c:v>
                </c:pt>
                <c:pt idx="5">
                  <c:v>1.2398662697916278</c:v>
                </c:pt>
                <c:pt idx="6">
                  <c:v>1.3947183044397389</c:v>
                </c:pt>
                <c:pt idx="7">
                  <c:v>1.8239246572905068</c:v>
                </c:pt>
                <c:pt idx="8">
                  <c:v>1.3759892810072392</c:v>
                </c:pt>
                <c:pt idx="9">
                  <c:v>1.8383865701037312</c:v>
                </c:pt>
                <c:pt idx="10">
                  <c:v>1.3155041873554014</c:v>
                </c:pt>
                <c:pt idx="11">
                  <c:v>1.229825046815729</c:v>
                </c:pt>
                <c:pt idx="12">
                  <c:v>1.276049666412173</c:v>
                </c:pt>
                <c:pt idx="13">
                  <c:v>1.3208834402251213</c:v>
                </c:pt>
                <c:pt idx="14">
                  <c:v>1.4079086960457552</c:v>
                </c:pt>
                <c:pt idx="15">
                  <c:v>1.3227036746397631</c:v>
                </c:pt>
                <c:pt idx="16">
                  <c:v>1.4879016159378382</c:v>
                </c:pt>
                <c:pt idx="17">
                  <c:v>1.9457839165748669</c:v>
                </c:pt>
                <c:pt idx="18">
                  <c:v>1.4679212771544103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A-47D0-964B-960128079267}"/>
            </c:ext>
          </c:extLst>
        </c:ser>
        <c:ser>
          <c:idx val="1"/>
          <c:order val="1"/>
          <c:tx>
            <c:strRef>
              <c:f>factors!$H$1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factors!$H$2:$H$20</c:f>
              <c:numCache>
                <c:formatCode>0%</c:formatCode>
                <c:ptCount val="19"/>
                <c:pt idx="0">
                  <c:v>1.2621516911228507</c:v>
                </c:pt>
                <c:pt idx="1">
                  <c:v>1.2523801941593191</c:v>
                </c:pt>
                <c:pt idx="2">
                  <c:v>1.2780955170016801</c:v>
                </c:pt>
                <c:pt idx="3">
                  <c:v>1.2351172161904129</c:v>
                </c:pt>
                <c:pt idx="4">
                  <c:v>1.2621516911228507</c:v>
                </c:pt>
                <c:pt idx="5">
                  <c:v>1.3272950042130625</c:v>
                </c:pt>
                <c:pt idx="6">
                  <c:v>1.2780955170016801</c:v>
                </c:pt>
                <c:pt idx="7">
                  <c:v>1.3779276443124293</c:v>
                </c:pt>
                <c:pt idx="8">
                  <c:v>0.99335613560972091</c:v>
                </c:pt>
                <c:pt idx="9">
                  <c:v>1.4411902783956245</c:v>
                </c:pt>
                <c:pt idx="10">
                  <c:v>1.2400659119833537</c:v>
                </c:pt>
                <c:pt idx="11">
                  <c:v>1.2304654016970311</c:v>
                </c:pt>
                <c:pt idx="12">
                  <c:v>1.255730744600537</c:v>
                </c:pt>
                <c:pt idx="13">
                  <c:v>1.2135045001911942</c:v>
                </c:pt>
                <c:pt idx="14">
                  <c:v>1.2400659119833537</c:v>
                </c:pt>
                <c:pt idx="15">
                  <c:v>1.304069313892172</c:v>
                </c:pt>
                <c:pt idx="16">
                  <c:v>1.255730744600537</c:v>
                </c:pt>
                <c:pt idx="17">
                  <c:v>1.3538159580258009</c:v>
                </c:pt>
                <c:pt idx="18">
                  <c:v>0.97597387928328605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A-47D0-964B-960128079267}"/>
            </c:ext>
          </c:extLst>
        </c:ser>
        <c:ser>
          <c:idx val="2"/>
          <c:order val="2"/>
          <c:tx>
            <c:strRef>
              <c:f>factors!$I$1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factors!$I$2:$I$20</c:f>
              <c:numCache>
                <c:formatCode>0%</c:formatCode>
                <c:ptCount val="19"/>
                <c:pt idx="0">
                  <c:v>1.8674609137173559</c:v>
                </c:pt>
                <c:pt idx="1">
                  <c:v>2.723018588141354</c:v>
                </c:pt>
                <c:pt idx="2">
                  <c:v>1.1210411294368863</c:v>
                </c:pt>
                <c:pt idx="3">
                  <c:v>2.4164944223502589</c:v>
                </c:pt>
                <c:pt idx="4">
                  <c:v>3.1269112973872009</c:v>
                </c:pt>
                <c:pt idx="5">
                  <c:v>3.2962856593290075</c:v>
                </c:pt>
                <c:pt idx="6">
                  <c:v>1.189268596772932</c:v>
                </c:pt>
                <c:pt idx="7">
                  <c:v>4.4323967640463575</c:v>
                </c:pt>
                <c:pt idx="8">
                  <c:v>3.7353471205762974</c:v>
                </c:pt>
                <c:pt idx="9">
                  <c:v>4.7276278611905402</c:v>
                </c:pt>
                <c:pt idx="10">
                  <c:v>1.5149912613190106</c:v>
                </c:pt>
                <c:pt idx="11">
                  <c:v>2.2090686531326038</c:v>
                </c:pt>
                <c:pt idx="12">
                  <c:v>0.9094527774052934</c:v>
                </c:pt>
                <c:pt idx="13">
                  <c:v>1.9603986921467997</c:v>
                </c:pt>
                <c:pt idx="14">
                  <c:v>2.5367295538364827</c:v>
                </c:pt>
                <c:pt idx="15">
                  <c:v>2.6741357380026258</c:v>
                </c:pt>
                <c:pt idx="16">
                  <c:v>0.96480280697580889</c:v>
                </c:pt>
                <c:pt idx="17">
                  <c:v>3.5958141425632144</c:v>
                </c:pt>
                <c:pt idx="18">
                  <c:v>3.0303275447952549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A-47D0-964B-960128079267}"/>
            </c:ext>
          </c:extLst>
        </c:ser>
        <c:ser>
          <c:idx val="3"/>
          <c:order val="3"/>
          <c:tx>
            <c:strRef>
              <c:f>factors!$J$1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factors!$J$2:$J$20</c:f>
              <c:numCache>
                <c:formatCode>0%</c:formatCode>
                <c:ptCount val="19"/>
                <c:pt idx="0">
                  <c:v>8.9944375269833134</c:v>
                </c:pt>
                <c:pt idx="1">
                  <c:v>10.441368781324107</c:v>
                </c:pt>
                <c:pt idx="2">
                  <c:v>6.3985646441956936</c:v>
                </c:pt>
                <c:pt idx="3">
                  <c:v>7.5600202726800614</c:v>
                </c:pt>
                <c:pt idx="4">
                  <c:v>23.072687569218065</c:v>
                </c:pt>
                <c:pt idx="5">
                  <c:v>16.581050049743151</c:v>
                </c:pt>
                <c:pt idx="6">
                  <c:v>12.107686098823059</c:v>
                </c:pt>
                <c:pt idx="7">
                  <c:v>18.623178430869537</c:v>
                </c:pt>
                <c:pt idx="8">
                  <c:v>19.457063279169653</c:v>
                </c:pt>
                <c:pt idx="9">
                  <c:v>24.902173434837461</c:v>
                </c:pt>
                <c:pt idx="10">
                  <c:v>9.6431914351689301</c:v>
                </c:pt>
                <c:pt idx="11">
                  <c:v>11.194487448652627</c:v>
                </c:pt>
                <c:pt idx="12">
                  <c:v>6.8600825331406092</c:v>
                </c:pt>
                <c:pt idx="13">
                  <c:v>8.1053120358559028</c:v>
                </c:pt>
                <c:pt idx="14">
                  <c:v>24.736882377172471</c:v>
                </c:pt>
                <c:pt idx="15">
                  <c:v>17.777013776137505</c:v>
                </c:pt>
                <c:pt idx="16">
                  <c:v>12.980993479315879</c:v>
                </c:pt>
                <c:pt idx="17">
                  <c:v>19.966437501113685</c:v>
                </c:pt>
                <c:pt idx="18">
                  <c:v>20.860469084847619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A-47D0-964B-960128079267}"/>
            </c:ext>
          </c:extLst>
        </c:ser>
        <c:ser>
          <c:idx val="4"/>
          <c:order val="4"/>
          <c:tx>
            <c:strRef>
              <c:f>factors!$L$1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factors!$L$2:$L$20</c:f>
              <c:numCache>
                <c:formatCode>0%</c:formatCode>
                <c:ptCount val="19"/>
                <c:pt idx="0">
                  <c:v>1.5680135810233413</c:v>
                </c:pt>
                <c:pt idx="1">
                  <c:v>1.3539296972765325</c:v>
                </c:pt>
                <c:pt idx="2">
                  <c:v>1.4576498397038522</c:v>
                </c:pt>
                <c:pt idx="3">
                  <c:v>1.6132756914245137</c:v>
                </c:pt>
                <c:pt idx="4">
                  <c:v>1.7150148542442805</c:v>
                </c:pt>
                <c:pt idx="5">
                  <c:v>0.93405936418852886</c:v>
                </c:pt>
                <c:pt idx="6">
                  <c:v>1.0201936332444821</c:v>
                </c:pt>
                <c:pt idx="7">
                  <c:v>1.5327701188628553</c:v>
                </c:pt>
                <c:pt idx="8">
                  <c:v>0.21313874614667561</c:v>
                </c:pt>
                <c:pt idx="9">
                  <c:v>0.21310266939254133</c:v>
                </c:pt>
                <c:pt idx="10">
                  <c:v>1.3952893848045242</c:v>
                </c:pt>
                <c:pt idx="11">
                  <c:v>1.204787864878466</c:v>
                </c:pt>
                <c:pt idx="12">
                  <c:v>1.2970827374935381</c:v>
                </c:pt>
                <c:pt idx="13">
                  <c:v>1.4355656572430511</c:v>
                </c:pt>
                <c:pt idx="14">
                  <c:v>1.5260977646299492</c:v>
                </c:pt>
                <c:pt idx="15">
                  <c:v>0.83116825734312116</c:v>
                </c:pt>
                <c:pt idx="16">
                  <c:v>0.90781442465707596</c:v>
                </c:pt>
                <c:pt idx="17">
                  <c:v>1.3639281585808376</c:v>
                </c:pt>
                <c:pt idx="18">
                  <c:v>0.18966049375345029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A-47D0-964B-96012807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03472"/>
        <c:axId val="474304128"/>
      </c:barChart>
      <c:catAx>
        <c:axId val="474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4128"/>
        <c:crossesAt val="0.1"/>
        <c:auto val="1"/>
        <c:lblAlgn val="ctr"/>
        <c:lblOffset val="100"/>
        <c:noMultiLvlLbl val="0"/>
      </c:catAx>
      <c:valAx>
        <c:axId val="47430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05713708863314"/>
          <c:y val="3.3180417665183211E-2"/>
          <c:w val="0.70043273436974229"/>
          <c:h val="5.14877745544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5380560589636E-2"/>
          <c:y val="3.5021545645959502E-2"/>
          <c:w val="0.8907533774192723"/>
          <c:h val="0.7795758457126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scenarios!$A$6:$A$14</c:f>
              <c:strCache>
                <c:ptCount val="9"/>
                <c:pt idx="0">
                  <c:v>Energie und Klimazukunft 2030 (Veigl17)</c:v>
                </c:pt>
                <c:pt idx="1">
                  <c:v>Erneuerbare Energie 2030 (UBA16)</c:v>
                </c:pt>
                <c:pt idx="2">
                  <c:v>WEM 2030 (UBA17)</c:v>
                </c:pt>
                <c:pt idx="3">
                  <c:v>Transition 2030 (UBA17)</c:v>
                </c:pt>
                <c:pt idx="4">
                  <c:v>Energie und Klimazukunft 2050 (Veigl17)</c:v>
                </c:pt>
                <c:pt idx="5">
                  <c:v>Erneuerbare Energie 2050 (UBA16)</c:v>
                </c:pt>
                <c:pt idx="6">
                  <c:v>WEM 2050 (UBA17)</c:v>
                </c:pt>
                <c:pt idx="7">
                  <c:v>Transition 2050 (UBA17)</c:v>
                </c:pt>
                <c:pt idx="8">
                  <c:v>100% Erneuerbare Deckung 2050 (FLUCCO+)</c:v>
                </c:pt>
              </c:strCache>
            </c:strRef>
          </c:cat>
          <c:val>
            <c:numRef>
              <c:f>scenarios!$G$6:$G$14</c:f>
              <c:numCache>
                <c:formatCode>0.0</c:formatCode>
                <c:ptCount val="9"/>
                <c:pt idx="0">
                  <c:v>155</c:v>
                </c:pt>
                <c:pt idx="1">
                  <c:v>153.80000000000001</c:v>
                </c:pt>
                <c:pt idx="2">
                  <c:v>156.958</c:v>
                </c:pt>
                <c:pt idx="3">
                  <c:v>151.68</c:v>
                </c:pt>
                <c:pt idx="4">
                  <c:v>155</c:v>
                </c:pt>
                <c:pt idx="5">
                  <c:v>163</c:v>
                </c:pt>
                <c:pt idx="6">
                  <c:v>156.958</c:v>
                </c:pt>
                <c:pt idx="7">
                  <c:v>169.21799999999999</c:v>
                </c:pt>
                <c:pt idx="8">
                  <c:v>121.9902505399568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0A3-BDDD-ACF143BAB5F3}"/>
            </c:ext>
          </c:extLst>
        </c:ser>
        <c:ser>
          <c:idx val="1"/>
          <c:order val="1"/>
          <c:tx>
            <c:strRef>
              <c:f>scenarios!$H$1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scenarios!$A$6:$A$14</c:f>
              <c:strCache>
                <c:ptCount val="9"/>
                <c:pt idx="0">
                  <c:v>Energie und Klimazukunft 2030 (Veigl17)</c:v>
                </c:pt>
                <c:pt idx="1">
                  <c:v>Erneuerbare Energie 2030 (UBA16)</c:v>
                </c:pt>
                <c:pt idx="2">
                  <c:v>WEM 2030 (UBA17)</c:v>
                </c:pt>
                <c:pt idx="3">
                  <c:v>Transition 2030 (UBA17)</c:v>
                </c:pt>
                <c:pt idx="4">
                  <c:v>Energie und Klimazukunft 2050 (Veigl17)</c:v>
                </c:pt>
                <c:pt idx="5">
                  <c:v>Erneuerbare Energie 2050 (UBA16)</c:v>
                </c:pt>
                <c:pt idx="6">
                  <c:v>WEM 2050 (UBA17)</c:v>
                </c:pt>
                <c:pt idx="7">
                  <c:v>Transition 2050 (UBA17)</c:v>
                </c:pt>
                <c:pt idx="8">
                  <c:v>100% Erneuerbare Deckung 2050 (FLUCCO+)</c:v>
                </c:pt>
              </c:strCache>
            </c:strRef>
          </c:cat>
          <c:val>
            <c:numRef>
              <c:f>scenarios!$H$6:$H$14</c:f>
              <c:numCache>
                <c:formatCode>0.0</c:formatCode>
                <c:ptCount val="9"/>
                <c:pt idx="0">
                  <c:v>43</c:v>
                </c:pt>
                <c:pt idx="1">
                  <c:v>62.7</c:v>
                </c:pt>
                <c:pt idx="2">
                  <c:v>25.812999999999999</c:v>
                </c:pt>
                <c:pt idx="3">
                  <c:v>55.642000000000003</c:v>
                </c:pt>
                <c:pt idx="4">
                  <c:v>72</c:v>
                </c:pt>
                <c:pt idx="5">
                  <c:v>75.900000000000006</c:v>
                </c:pt>
                <c:pt idx="6">
                  <c:v>27.384</c:v>
                </c:pt>
                <c:pt idx="7">
                  <c:v>102.06</c:v>
                </c:pt>
                <c:pt idx="8">
                  <c:v>86.009792764578819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2-40A3-BDDD-ACF143BAB5F3}"/>
            </c:ext>
          </c:extLst>
        </c:ser>
        <c:ser>
          <c:idx val="2"/>
          <c:order val="2"/>
          <c:tx>
            <c:strRef>
              <c:f>scenarios!$I$1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scenarios!$A$6:$A$14</c:f>
              <c:strCache>
                <c:ptCount val="9"/>
                <c:pt idx="0">
                  <c:v>Energie und Klimazukunft 2030 (Veigl17)</c:v>
                </c:pt>
                <c:pt idx="1">
                  <c:v>Erneuerbare Energie 2030 (UBA16)</c:v>
                </c:pt>
                <c:pt idx="2">
                  <c:v>WEM 2030 (UBA17)</c:v>
                </c:pt>
                <c:pt idx="3">
                  <c:v>Transition 2030 (UBA17)</c:v>
                </c:pt>
                <c:pt idx="4">
                  <c:v>Energie und Klimazukunft 2050 (Veigl17)</c:v>
                </c:pt>
                <c:pt idx="5">
                  <c:v>Erneuerbare Energie 2050 (UBA16)</c:v>
                </c:pt>
                <c:pt idx="6">
                  <c:v>WEM 2050 (UBA17)</c:v>
                </c:pt>
                <c:pt idx="7">
                  <c:v>Transition 2050 (UBA17)</c:v>
                </c:pt>
                <c:pt idx="8">
                  <c:v>100% Erneuerbare Deckung 2050 (FLUCCO+)</c:v>
                </c:pt>
              </c:strCache>
            </c:strRef>
          </c:cat>
          <c:val>
            <c:numRef>
              <c:f>scenarios!$I$6:$I$14</c:f>
              <c:numCache>
                <c:formatCode>0.0</c:formatCode>
                <c:ptCount val="9"/>
                <c:pt idx="0">
                  <c:v>46</c:v>
                </c:pt>
                <c:pt idx="1">
                  <c:v>53.4</c:v>
                </c:pt>
                <c:pt idx="2">
                  <c:v>32.723999999999997</c:v>
                </c:pt>
                <c:pt idx="3">
                  <c:v>38.664000000000001</c:v>
                </c:pt>
                <c:pt idx="4">
                  <c:v>118</c:v>
                </c:pt>
                <c:pt idx="5">
                  <c:v>84.8</c:v>
                </c:pt>
                <c:pt idx="6">
                  <c:v>61.921999999999997</c:v>
                </c:pt>
                <c:pt idx="7">
                  <c:v>95.244</c:v>
                </c:pt>
                <c:pt idx="8">
                  <c:v>99.508713930885534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2-40A3-BDDD-ACF143BAB5F3}"/>
            </c:ext>
          </c:extLst>
        </c:ser>
        <c:ser>
          <c:idx val="3"/>
          <c:order val="3"/>
          <c:tx>
            <c:strRef>
              <c:f>scenarios!$K$1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scenarios!$A$6:$A$14</c:f>
              <c:strCache>
                <c:ptCount val="9"/>
                <c:pt idx="0">
                  <c:v>Energie und Klimazukunft 2030 (Veigl17)</c:v>
                </c:pt>
                <c:pt idx="1">
                  <c:v>Erneuerbare Energie 2030 (UBA16)</c:v>
                </c:pt>
                <c:pt idx="2">
                  <c:v>WEM 2030 (UBA17)</c:v>
                </c:pt>
                <c:pt idx="3">
                  <c:v>Transition 2030 (UBA17)</c:v>
                </c:pt>
                <c:pt idx="4">
                  <c:v>Energie und Klimazukunft 2050 (Veigl17)</c:v>
                </c:pt>
                <c:pt idx="5">
                  <c:v>Erneuerbare Energie 2050 (UBA16)</c:v>
                </c:pt>
                <c:pt idx="6">
                  <c:v>WEM 2050 (UBA17)</c:v>
                </c:pt>
                <c:pt idx="7">
                  <c:v>Transition 2050 (UBA17)</c:v>
                </c:pt>
                <c:pt idx="8">
                  <c:v>100% Erneuerbare Deckung 2050 (FLUCCO+)</c:v>
                </c:pt>
              </c:strCache>
            </c:strRef>
          </c:cat>
          <c:val>
            <c:numRef>
              <c:f>scenarios!$K$6:$K$14</c:f>
              <c:numCache>
                <c:formatCode>0.0</c:formatCode>
                <c:ptCount val="9"/>
                <c:pt idx="0">
                  <c:v>51.536357091432649</c:v>
                </c:pt>
                <c:pt idx="1">
                  <c:v>44.5</c:v>
                </c:pt>
                <c:pt idx="2">
                  <c:v>47.90900000000002</c:v>
                </c:pt>
                <c:pt idx="3">
                  <c:v>53.024000000000001</c:v>
                </c:pt>
                <c:pt idx="4">
                  <c:v>56.36789056875449</c:v>
                </c:pt>
                <c:pt idx="5">
                  <c:v>30.699999999999989</c:v>
                </c:pt>
                <c:pt idx="6">
                  <c:v>33.531000000000034</c:v>
                </c:pt>
                <c:pt idx="7">
                  <c:v>50.377999999999929</c:v>
                </c:pt>
                <c:pt idx="8">
                  <c:v>7.0052929798391688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2-40A3-BDDD-ACF143BA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246752619854"/>
          <c:y val="4.5264533001351498E-2"/>
          <c:w val="0.42105332202846257"/>
          <c:h val="5.3726610834417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5390939877218737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[3]TabellenEE!$B$9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[3]TabellenEE!$C$9:$J$9</c:f>
              <c:numCache>
                <c:formatCode>General</c:formatCode>
                <c:ptCount val="8"/>
                <c:pt idx="0">
                  <c:v>138</c:v>
                </c:pt>
                <c:pt idx="1">
                  <c:v>161.30000000000001</c:v>
                </c:pt>
                <c:pt idx="2">
                  <c:v>177</c:v>
                </c:pt>
                <c:pt idx="3">
                  <c:v>155</c:v>
                </c:pt>
                <c:pt idx="4">
                  <c:v>163</c:v>
                </c:pt>
                <c:pt idx="5">
                  <c:v>173.22629999999998</c:v>
                </c:pt>
                <c:pt idx="6">
                  <c:v>177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44B3-9617-1472C98FA2CB}"/>
            </c:ext>
          </c:extLst>
        </c:ser>
        <c:ser>
          <c:idx val="1"/>
          <c:order val="1"/>
          <c:tx>
            <c:strRef>
              <c:f>[3]TabellenEE!$B$10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rgbClr val="66FFFF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[3]TabellenEE!$C$10:$J$10</c:f>
              <c:numCache>
                <c:formatCode>General</c:formatCode>
                <c:ptCount val="8"/>
                <c:pt idx="0">
                  <c:v>7</c:v>
                </c:pt>
                <c:pt idx="1">
                  <c:v>48.6</c:v>
                </c:pt>
                <c:pt idx="2">
                  <c:v>51.9</c:v>
                </c:pt>
                <c:pt idx="3">
                  <c:v>43</c:v>
                </c:pt>
                <c:pt idx="4">
                  <c:v>76</c:v>
                </c:pt>
                <c:pt idx="5">
                  <c:v>106.06830000000001</c:v>
                </c:pt>
                <c:pt idx="6">
                  <c:v>87.199999999999989</c:v>
                </c:pt>
                <c:pt idx="7">
                  <c:v>108.86666666666666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F-44B3-9617-1472C98FA2CB}"/>
            </c:ext>
          </c:extLst>
        </c:ser>
        <c:ser>
          <c:idx val="2"/>
          <c:order val="2"/>
          <c:tx>
            <c:strRef>
              <c:f>[3]TabellenEE!$B$11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[3]TabellenEE!$C$11:$J$11</c:f>
              <c:numCache>
                <c:formatCode>General</c:formatCode>
                <c:ptCount val="8"/>
                <c:pt idx="0">
                  <c:v>0</c:v>
                </c:pt>
                <c:pt idx="1">
                  <c:v>57.900000000000006</c:v>
                </c:pt>
                <c:pt idx="2">
                  <c:v>70.400000000000006</c:v>
                </c:pt>
                <c:pt idx="3">
                  <c:v>108</c:v>
                </c:pt>
                <c:pt idx="4">
                  <c:v>85</c:v>
                </c:pt>
                <c:pt idx="5">
                  <c:v>100.59939999999999</c:v>
                </c:pt>
                <c:pt idx="6">
                  <c:v>105.7</c:v>
                </c:pt>
                <c:pt idx="7">
                  <c:v>127.36666666666667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F-44B3-9617-1472C98FA2CB}"/>
            </c:ext>
          </c:extLst>
        </c:ser>
        <c:ser>
          <c:idx val="3"/>
          <c:order val="3"/>
          <c:tx>
            <c:strRef>
              <c:f>[3]TabellenEE!$B$12</c:f>
              <c:strCache>
                <c:ptCount val="1"/>
                <c:pt idx="0">
                  <c:v>Biogene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[3]TabellenEE!$C$12:$J$12</c:f>
              <c:numCache>
                <c:formatCode>General</c:formatCode>
                <c:ptCount val="8"/>
                <c:pt idx="0">
                  <c:v>237</c:v>
                </c:pt>
                <c:pt idx="1">
                  <c:v>244</c:v>
                </c:pt>
                <c:pt idx="2">
                  <c:v>293</c:v>
                </c:pt>
                <c:pt idx="3">
                  <c:v>284</c:v>
                </c:pt>
                <c:pt idx="4">
                  <c:v>282</c:v>
                </c:pt>
                <c:pt idx="5">
                  <c:v>242.10040000000001</c:v>
                </c:pt>
                <c:pt idx="6">
                  <c:v>293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F-44B3-9617-1472C98FA2CB}"/>
            </c:ext>
          </c:extLst>
        </c:ser>
        <c:ser>
          <c:idx val="4"/>
          <c:order val="4"/>
          <c:tx>
            <c:strRef>
              <c:f>[3]TabellenEE!$B$13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[3]TabellenEE!$C$13:$J$13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64</c:v>
                </c:pt>
                <c:pt idx="4">
                  <c:v>0</c:v>
                </c:pt>
                <c:pt idx="5">
                  <c:v>20.502800000000001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F-44B3-9617-1472C98FA2CB}"/>
            </c:ext>
          </c:extLst>
        </c:ser>
        <c:ser>
          <c:idx val="5"/>
          <c:order val="5"/>
          <c:tx>
            <c:strRef>
              <c:f>[3]TabellenEE!$B$14</c:f>
              <c:strCache>
                <c:ptCount val="1"/>
                <c:pt idx="0">
                  <c:v>Umgebungswärme Wärmepumpe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[3]TabellenEE!$C$14:$J$14</c:f>
              <c:numCache>
                <c:formatCode>General</c:formatCode>
                <c:ptCount val="8"/>
                <c:pt idx="0">
                  <c:v>13</c:v>
                </c:pt>
                <c:pt idx="1">
                  <c:v>49</c:v>
                </c:pt>
                <c:pt idx="2">
                  <c:v>68</c:v>
                </c:pt>
                <c:pt idx="3">
                  <c:v>56</c:v>
                </c:pt>
                <c:pt idx="4">
                  <c:v>54</c:v>
                </c:pt>
                <c:pt idx="5">
                  <c:v>20.502800000000001</c:v>
                </c:pt>
                <c:pt idx="6">
                  <c:v>68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F-44B3-9617-1472C98FA2CB}"/>
            </c:ext>
          </c:extLst>
        </c:ser>
        <c:ser>
          <c:idx val="6"/>
          <c:order val="6"/>
          <c:tx>
            <c:strRef>
              <c:f>[3]TabellenEE!$B$15</c:f>
              <c:strCache>
                <c:ptCount val="1"/>
                <c:pt idx="0">
                  <c:v>Tiefe Geo-thermie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[3]TabellenEE!$C$15:$J$15</c:f>
              <c:numCache>
                <c:formatCode>General</c:formatCode>
                <c:ptCount val="8"/>
                <c:pt idx="0">
                  <c:v>0</c:v>
                </c:pt>
                <c:pt idx="1">
                  <c:v>10.6</c:v>
                </c:pt>
                <c:pt idx="2">
                  <c:v>70.599999999999994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F-44B3-9617-1472C98FA2CB}"/>
            </c:ext>
          </c:extLst>
        </c:ser>
        <c:ser>
          <c:idx val="7"/>
          <c:order val="7"/>
          <c:tx>
            <c:strRef>
              <c:f>[3]TabellenEE!$B$16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[3]TabellenEE!$C$16:$J$16</c:f>
              <c:numCache>
                <c:formatCode>General</c:formatCode>
                <c:ptCount val="8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F-44B3-9617-1472C98FA2CB}"/>
            </c:ext>
          </c:extLst>
        </c:ser>
        <c:ser>
          <c:idx val="8"/>
          <c:order val="8"/>
          <c:tx>
            <c:strRef>
              <c:f>[3]TabellenEE!$B$17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[3]TabellenEE!$C$17:$J$17</c:f>
              <c:numCache>
                <c:formatCode>General</c:formatCode>
                <c:ptCount val="8"/>
                <c:pt idx="0">
                  <c:v>549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82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F-44B3-9617-1472C98FA2CB}"/>
            </c:ext>
          </c:extLst>
        </c:ser>
        <c:ser>
          <c:idx val="9"/>
          <c:order val="9"/>
          <c:tx>
            <c:strRef>
              <c:f>[3]TabellenEE!$B$18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[3]TabellenEE!$C$18:$J$18</c:f>
              <c:numCache>
                <c:formatCode>General</c:formatCode>
                <c:ptCount val="8"/>
                <c:pt idx="0">
                  <c:v>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F-44B3-9617-1472C98FA2CB}"/>
            </c:ext>
          </c:extLst>
        </c:ser>
        <c:ser>
          <c:idx val="10"/>
          <c:order val="10"/>
          <c:tx>
            <c:strRef>
              <c:f>[3]TabellenEE!$B$19</c:f>
              <c:strCache>
                <c:ptCount val="1"/>
                <c:pt idx="0">
                  <c:v>Abfälle</c:v>
                </c:pt>
              </c:strCache>
            </c:strRef>
          </c:tx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[3]TabellenEE!$C$19:$J$19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2F-44B3-9617-1472C98FA2CB}"/>
            </c:ext>
          </c:extLst>
        </c:ser>
        <c:ser>
          <c:idx val="11"/>
          <c:order val="11"/>
          <c:tx>
            <c:strRef>
              <c:f>[3]TabellenEE!$B$20</c:f>
              <c:strCache>
                <c:ptCount val="1"/>
                <c:pt idx="0">
                  <c:v>Wasserstoff </c:v>
                </c:pt>
              </c:strCache>
            </c:strRef>
          </c:tx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2F-44B3-9617-1472C98FA2CB}"/>
            </c:ext>
          </c:extLst>
        </c:ser>
        <c:ser>
          <c:idx val="12"/>
          <c:order val="12"/>
          <c:tx>
            <c:strRef>
              <c:f>[3]TabellenEE!$B$21</c:f>
              <c:strCache>
                <c:ptCount val="1"/>
                <c:pt idx="0">
                  <c:v>Elektrische Energie Export/Import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[3]TabellenEE!$C$21:$J$21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2F-44B3-9617-1472C98F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6432"/>
        <c:axId val="199836416"/>
      </c:barChart>
      <c:catAx>
        <c:axId val="19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36416"/>
        <c:crossesAt val="-200"/>
        <c:auto val="1"/>
        <c:lblAlgn val="ctr"/>
        <c:lblOffset val="100"/>
        <c:noMultiLvlLbl val="0"/>
      </c:catAx>
      <c:valAx>
        <c:axId val="1998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2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Endenergiebedarf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4906678695051038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[3]TabellenEE!$B$73</c:f>
              <c:strCache>
                <c:ptCount val="1"/>
                <c:pt idx="0">
                  <c:v>Gebäude (Summe HH, Dienstl.)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[3]TabellenEE!$C$73:$J$73</c:f>
              <c:numCache>
                <c:formatCode>General</c:formatCode>
                <c:ptCount val="8"/>
                <c:pt idx="0">
                  <c:v>418</c:v>
                </c:pt>
                <c:pt idx="1">
                  <c:v>210</c:v>
                </c:pt>
                <c:pt idx="2">
                  <c:v>239</c:v>
                </c:pt>
                <c:pt idx="3">
                  <c:v>208</c:v>
                </c:pt>
                <c:pt idx="4">
                  <c:v>206</c:v>
                </c:pt>
                <c:pt idx="5">
                  <c:v>241</c:v>
                </c:pt>
                <c:pt idx="6">
                  <c:v>239</c:v>
                </c:pt>
                <c:pt idx="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5CF-B054-7D0950D991C6}"/>
            </c:ext>
          </c:extLst>
        </c:ser>
        <c:ser>
          <c:idx val="1"/>
          <c:order val="1"/>
          <c:tx>
            <c:strRef>
              <c:f>[3]TabellenEE!$B$74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[3]TabellenEE!$C$74:$J$74</c:f>
              <c:numCache>
                <c:formatCode>General</c:formatCode>
                <c:ptCount val="8"/>
                <c:pt idx="0">
                  <c:v>391</c:v>
                </c:pt>
                <c:pt idx="1">
                  <c:v>85</c:v>
                </c:pt>
                <c:pt idx="2">
                  <c:v>98</c:v>
                </c:pt>
                <c:pt idx="3">
                  <c:v>99</c:v>
                </c:pt>
                <c:pt idx="4">
                  <c:v>147</c:v>
                </c:pt>
                <c:pt idx="5">
                  <c:v>137</c:v>
                </c:pt>
                <c:pt idx="6">
                  <c:v>98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0-45CF-B054-7D0950D991C6}"/>
            </c:ext>
          </c:extLst>
        </c:ser>
        <c:ser>
          <c:idx val="2"/>
          <c:order val="2"/>
          <c:tx>
            <c:strRef>
              <c:f>[3]TabellenEE!$B$75</c:f>
              <c:strCache>
                <c:ptCount val="1"/>
                <c:pt idx="0">
                  <c:v>Industrie / Produktion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[3]TabellenEE!$C$75:$J$75</c:f>
              <c:numCache>
                <c:formatCode>General</c:formatCode>
                <c:ptCount val="8"/>
                <c:pt idx="0">
                  <c:v>315</c:v>
                </c:pt>
                <c:pt idx="1">
                  <c:v>201</c:v>
                </c:pt>
                <c:pt idx="2">
                  <c:v>304</c:v>
                </c:pt>
                <c:pt idx="3">
                  <c:v>262</c:v>
                </c:pt>
                <c:pt idx="4">
                  <c:v>273</c:v>
                </c:pt>
                <c:pt idx="5">
                  <c:v>233</c:v>
                </c:pt>
                <c:pt idx="6">
                  <c:v>304</c:v>
                </c:pt>
                <c:pt idx="7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0-45CF-B054-7D0950D991C6}"/>
            </c:ext>
          </c:extLst>
        </c:ser>
        <c:ser>
          <c:idx val="3"/>
          <c:order val="3"/>
          <c:tx>
            <c:strRef>
              <c:f>[3]TabellenEE!$B$76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66FF33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[3]TabellenEE!$C$76:$J$76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11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0-45CF-B054-7D0950D9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76608"/>
        <c:axId val="199878144"/>
      </c:barChart>
      <c:catAx>
        <c:axId val="199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78144"/>
        <c:crossesAt val="-200"/>
        <c:auto val="1"/>
        <c:lblAlgn val="ctr"/>
        <c:lblOffset val="100"/>
        <c:noMultiLvlLbl val="0"/>
      </c:catAx>
      <c:valAx>
        <c:axId val="1998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6469816272967"/>
          <c:y val="5.1342592592592606E-2"/>
          <c:w val="0.58711818540911875"/>
          <c:h val="0.78678304923382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zentral_lokal!$A$4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2D050"/>
            </a:solidFill>
            <a:ln w="12700" cap="sq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zentral_lokal!$B$4:$E$4</c:f>
              <c:numCache>
                <c:formatCode>_-* #\ ##0\ _€_-;\-* #\ ##0\ _€_-;_-* "-"??\ _€_-;_-@_-</c:formatCode>
                <c:ptCount val="4"/>
                <c:pt idx="0">
                  <c:v>74277.783719999992</c:v>
                </c:pt>
                <c:pt idx="2">
                  <c:v>81390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A-4411-87F9-8A5ABC61ADE9}"/>
            </c:ext>
          </c:extLst>
        </c:ser>
        <c:ser>
          <c:idx val="1"/>
          <c:order val="1"/>
          <c:tx>
            <c:strRef>
              <c:f>zentral_lokal!$A$5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zentral_lokal!$B$5:$E$5</c:f>
              <c:numCache>
                <c:formatCode>_-* #\ ##0\ _€_-;\-* #\ ##0\ _€_-;_-* "-"??\ _€_-;_-@_-</c:formatCode>
                <c:ptCount val="4"/>
                <c:pt idx="0">
                  <c:v>38694.447540000008</c:v>
                </c:pt>
                <c:pt idx="2">
                  <c:v>49167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A-4411-87F9-8A5ABC61ADE9}"/>
            </c:ext>
          </c:extLst>
        </c:ser>
        <c:ser>
          <c:idx val="2"/>
          <c:order val="2"/>
          <c:tx>
            <c:strRef>
              <c:f>zentral_lokal!$A$6</c:f>
              <c:strCache>
                <c:ptCount val="1"/>
                <c:pt idx="0">
                  <c:v>Windenergie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43256854927923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zentral_lokal!$B$6:$E$6</c:f>
              <c:numCache>
                <c:formatCode>_-* #\ ##0\ _€_-;\-* #\ ##0\ _€_-;_-* "-"??\ _€_-;_-@_-</c:formatCode>
                <c:ptCount val="4"/>
                <c:pt idx="0">
                  <c:v>6222.2227199999998</c:v>
                </c:pt>
                <c:pt idx="2">
                  <c:v>30241.019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A-4411-87F9-8A5ABC61ADE9}"/>
            </c:ext>
          </c:extLst>
        </c:ser>
        <c:ser>
          <c:idx val="5"/>
          <c:order val="3"/>
          <c:tx>
            <c:strRef>
              <c:f>zentral_lokal!$A$7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7EC07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zentral_lokal!$B$7:$E$7</c:f>
              <c:numCache>
                <c:formatCode>_-* #\ ##0\ _€_-;\-* #\ ##0\ _€_-;_-* "-"??\ _€_-;_-@_-</c:formatCode>
                <c:ptCount val="4"/>
                <c:pt idx="1">
                  <c:v>1250.0001</c:v>
                </c:pt>
                <c:pt idx="3">
                  <c:v>35380.019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A-4411-87F9-8A5ABC61ADE9}"/>
            </c:ext>
          </c:extLst>
        </c:ser>
        <c:ser>
          <c:idx val="6"/>
          <c:order val="4"/>
          <c:tx>
            <c:strRef>
              <c:f>zentral_lokal!$A$8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zentral_lokal!$B$8:$E$8</c:f>
              <c:numCache>
                <c:formatCode>_-* #\ ##0\ _€_-;\-* #\ ##0\ _€_-;_-* "-"??\ _€_-;_-@_-</c:formatCode>
                <c:ptCount val="4"/>
                <c:pt idx="1">
                  <c:v>0</c:v>
                </c:pt>
                <c:pt idx="3">
                  <c:v>20833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7A-4411-87F9-8A5ABC61ADE9}"/>
            </c:ext>
          </c:extLst>
        </c:ser>
        <c:ser>
          <c:idx val="7"/>
          <c:order val="5"/>
          <c:tx>
            <c:strRef>
              <c:f>zentral_lokal!$A$9</c:f>
              <c:strCache>
                <c:ptCount val="1"/>
                <c:pt idx="0">
                  <c:v>Oberflächennahe Umweltwärme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zentral_lokal!$B$9:$E$9</c:f>
              <c:numCache>
                <c:formatCode>_-* #\ ##0\ _€_-;\-* #\ ##0\ _€_-;_-* "-"??\ _€_-;_-@_-</c:formatCode>
                <c:ptCount val="4"/>
                <c:pt idx="1">
                  <c:v>5055.5559599999997</c:v>
                </c:pt>
                <c:pt idx="3">
                  <c:v>18889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A-4411-87F9-8A5ABC61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0806840"/>
        <c:axId val="1"/>
      </c:barChart>
      <c:catAx>
        <c:axId val="720806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-* #\ ##0\ _€_-;\-* #\ ##0\ _€_-;_-* &quot;-&quot;??\ _€_-;_-@_-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06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4389304128862066"/>
          <c:y val="4.8310461192350954E-2"/>
          <c:w val="0.2387153763140013"/>
          <c:h val="0.7597645294338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22</xdr:row>
      <xdr:rowOff>161924</xdr:rowOff>
    </xdr:from>
    <xdr:to>
      <xdr:col>11</xdr:col>
      <xdr:colOff>438150</xdr:colOff>
      <xdr:row>44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35217</xdr:colOff>
      <xdr:row>18</xdr:row>
      <xdr:rowOff>163927</xdr:rowOff>
    </xdr:from>
    <xdr:to>
      <xdr:col>12</xdr:col>
      <xdr:colOff>695325</xdr:colOff>
      <xdr:row>39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/>
        <xdr:cNvSpPr/>
      </xdr:nvSpPr>
      <xdr:spPr>
        <a:xfrm>
          <a:off x="4286249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/>
        <xdr:cNvSpPr/>
      </xdr:nvSpPr>
      <xdr:spPr>
        <a:xfrm>
          <a:off x="4319587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/>
        <xdr:cNvSpPr/>
      </xdr:nvSpPr>
      <xdr:spPr>
        <a:xfrm>
          <a:off x="4317205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/>
        <xdr:cNvSpPr/>
      </xdr:nvSpPr>
      <xdr:spPr>
        <a:xfrm>
          <a:off x="4302919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/>
        <xdr:cNvSpPr/>
      </xdr:nvSpPr>
      <xdr:spPr>
        <a:xfrm>
          <a:off x="4919663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/>
        <xdr:cNvSpPr/>
      </xdr:nvSpPr>
      <xdr:spPr>
        <a:xfrm>
          <a:off x="4310062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/>
        <xdr:cNvSpPr/>
      </xdr:nvSpPr>
      <xdr:spPr>
        <a:xfrm>
          <a:off x="4426743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/>
        <xdr:cNvSpPr/>
      </xdr:nvSpPr>
      <xdr:spPr>
        <a:xfrm>
          <a:off x="4167187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/>
        <xdr:cNvSpPr/>
      </xdr:nvSpPr>
      <xdr:spPr>
        <a:xfrm>
          <a:off x="4195762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/>
        <xdr:cNvSpPr/>
      </xdr:nvSpPr>
      <xdr:spPr>
        <a:xfrm>
          <a:off x="4193380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/>
        <xdr:cNvSpPr/>
      </xdr:nvSpPr>
      <xdr:spPr>
        <a:xfrm>
          <a:off x="4179094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/>
        <xdr:cNvSpPr/>
      </xdr:nvSpPr>
      <xdr:spPr>
        <a:xfrm>
          <a:off x="4795838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/>
        <xdr:cNvSpPr/>
      </xdr:nvSpPr>
      <xdr:spPr>
        <a:xfrm>
          <a:off x="4186237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/>
        <xdr:cNvSpPr/>
      </xdr:nvSpPr>
      <xdr:spPr>
        <a:xfrm>
          <a:off x="4302918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6</xdr:row>
      <xdr:rowOff>0</xdr:rowOff>
    </xdr:from>
    <xdr:to>
      <xdr:col>34</xdr:col>
      <xdr:colOff>480060</xdr:colOff>
      <xdr:row>27</xdr:row>
      <xdr:rowOff>144780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1543050"/>
          <a:ext cx="7423785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195581</xdr:colOff>
      <xdr:row>9</xdr:row>
      <xdr:rowOff>63862</xdr:rowOff>
    </xdr:from>
    <xdr:to>
      <xdr:col>24</xdr:col>
      <xdr:colOff>646067</xdr:colOff>
      <xdr:row>31</xdr:row>
      <xdr:rowOff>177618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52070</xdr:colOff>
      <xdr:row>35</xdr:row>
      <xdr:rowOff>132262</xdr:rowOff>
    </xdr:from>
    <xdr:to>
      <xdr:col>23</xdr:col>
      <xdr:colOff>244928</xdr:colOff>
      <xdr:row>64</xdr:row>
      <xdr:rowOff>13517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0</xdr:colOff>
      <xdr:row>6</xdr:row>
      <xdr:rowOff>0</xdr:rowOff>
    </xdr:from>
    <xdr:to>
      <xdr:col>46</xdr:col>
      <xdr:colOff>388620</xdr:colOff>
      <xdr:row>32</xdr:row>
      <xdr:rowOff>30480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46525" y="1543050"/>
          <a:ext cx="8103870" cy="566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579120</xdr:colOff>
      <xdr:row>136</xdr:row>
      <xdr:rowOff>81280</xdr:rowOff>
    </xdr:from>
    <xdr:to>
      <xdr:col>38</xdr:col>
      <xdr:colOff>421640</xdr:colOff>
      <xdr:row>150</xdr:row>
      <xdr:rowOff>124460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8045" y="30208855"/>
          <a:ext cx="4414520" cy="271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993140</xdr:colOff>
      <xdr:row>116</xdr:row>
      <xdr:rowOff>134620</xdr:rowOff>
    </xdr:from>
    <xdr:to>
      <xdr:col>32</xdr:col>
      <xdr:colOff>53340</xdr:colOff>
      <xdr:row>137</xdr:row>
      <xdr:rowOff>93345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0465" y="24766270"/>
          <a:ext cx="6908800" cy="395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589280</xdr:colOff>
      <xdr:row>119</xdr:row>
      <xdr:rowOff>83820</xdr:rowOff>
    </xdr:from>
    <xdr:to>
      <xdr:col>37</xdr:col>
      <xdr:colOff>551180</xdr:colOff>
      <xdr:row>136</xdr:row>
      <xdr:rowOff>167640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83205" y="25258395"/>
          <a:ext cx="5295900" cy="3322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330200</xdr:colOff>
      <xdr:row>117</xdr:row>
      <xdr:rowOff>73660</xdr:rowOff>
    </xdr:from>
    <xdr:to>
      <xdr:col>26</xdr:col>
      <xdr:colOff>11833</xdr:colOff>
      <xdr:row>136</xdr:row>
      <xdr:rowOff>127000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24867235"/>
          <a:ext cx="7301633" cy="367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812800</xdr:colOff>
      <xdr:row>156</xdr:row>
      <xdr:rowOff>132080</xdr:rowOff>
    </xdr:from>
    <xdr:to>
      <xdr:col>38</xdr:col>
      <xdr:colOff>739284</xdr:colOff>
      <xdr:row>206</xdr:row>
      <xdr:rowOff>119380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0125" y="34460180"/>
          <a:ext cx="12166109" cy="951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60960</xdr:colOff>
      <xdr:row>155</xdr:row>
      <xdr:rowOff>0</xdr:rowOff>
    </xdr:from>
    <xdr:to>
      <xdr:col>48</xdr:col>
      <xdr:colOff>760951</xdr:colOff>
      <xdr:row>186</xdr:row>
      <xdr:rowOff>187960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69885" y="34137600"/>
          <a:ext cx="9081991" cy="609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180975</xdr:rowOff>
    </xdr:from>
    <xdr:to>
      <xdr:col>10</xdr:col>
      <xdr:colOff>371475</xdr:colOff>
      <xdr:row>14</xdr:row>
      <xdr:rowOff>171450</xdr:rowOff>
    </xdr:to>
    <xdr:graphicFrame macro="">
      <xdr:nvGraphicFramePr>
        <xdr:cNvPr id="2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AppData\Local\Microsoft\Windows\INetCache\Content.Outlook\9CT2YED2\TZ\Way2SmartKorneuburg_VerbrauchStadtzusammen2008bis2016Auswertung_neu_201909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e\klauda\public_html\Einreichung%20IEEE\Korneuburg2036_global\TZ\Way2SmartKorneuburg_VerbrauchStadtzusammen2008bis2016Auswertung_neu_201909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EE%20Alt%20privat\1_Forschung\2_Laufend\C-%20Way2Smart\4-%20Ergebnisse\Way2SmartKorneuburg_VerbrauchStadtzusammen2008bis2016Auswertung_neu_201909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/>
      <sheetData sheetId="1"/>
      <sheetData sheetId="2"/>
      <sheetData sheetId="3"/>
      <sheetData sheetId="4">
        <row r="257">
          <cell r="F257">
            <v>2.3591137123745822</v>
          </cell>
        </row>
        <row r="258">
          <cell r="F258">
            <v>0.82211538461538469</v>
          </cell>
        </row>
        <row r="267">
          <cell r="F267">
            <v>2.9310200668896322</v>
          </cell>
        </row>
        <row r="278">
          <cell r="F278">
            <v>4.0748327759197327</v>
          </cell>
        </row>
      </sheetData>
      <sheetData sheetId="5"/>
      <sheetData sheetId="6"/>
      <sheetData sheetId="7"/>
      <sheetData sheetId="8"/>
      <sheetData sheetId="9"/>
      <sheetData sheetId="10">
        <row r="48">
          <cell r="C48">
            <v>421.9</v>
          </cell>
          <cell r="J48">
            <v>239</v>
          </cell>
        </row>
        <row r="53">
          <cell r="C53">
            <v>305</v>
          </cell>
          <cell r="J53">
            <v>137</v>
          </cell>
        </row>
        <row r="64">
          <cell r="C64">
            <v>312</v>
          </cell>
          <cell r="J64">
            <v>304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4">
          <cell r="J204">
            <v>55</v>
          </cell>
          <cell r="K204">
            <v>122</v>
          </cell>
        </row>
        <row r="205">
          <cell r="J205">
            <v>27.85</v>
          </cell>
          <cell r="K205">
            <v>99.51666666666668</v>
          </cell>
        </row>
        <row r="206">
          <cell r="J206">
            <v>22.85</v>
          </cell>
          <cell r="K206">
            <v>86.016666666666652</v>
          </cell>
        </row>
        <row r="214">
          <cell r="C214">
            <v>65</v>
          </cell>
        </row>
        <row r="215">
          <cell r="C215">
            <v>102.3</v>
          </cell>
        </row>
        <row r="216">
          <cell r="C216">
            <v>22.7</v>
          </cell>
        </row>
        <row r="217">
          <cell r="C217">
            <v>14.7</v>
          </cell>
        </row>
        <row r="237">
          <cell r="E237">
            <v>318.93333333333334</v>
          </cell>
        </row>
        <row r="240">
          <cell r="D240">
            <v>91</v>
          </cell>
        </row>
        <row r="242">
          <cell r="E242">
            <v>177.3</v>
          </cell>
          <cell r="F242">
            <v>102.3</v>
          </cell>
          <cell r="M242">
            <v>75</v>
          </cell>
        </row>
        <row r="244">
          <cell r="E244">
            <v>64</v>
          </cell>
          <cell r="H244">
            <v>25.652790917691583</v>
          </cell>
          <cell r="J244">
            <v>12.989640491958376</v>
          </cell>
          <cell r="L244">
            <v>10.657568590350049</v>
          </cell>
        </row>
        <row r="245">
          <cell r="H245">
            <v>18.437943472090826</v>
          </cell>
          <cell r="J245">
            <v>9.3363041035950829</v>
          </cell>
          <cell r="L245">
            <v>7.6601274243140978</v>
          </cell>
        </row>
        <row r="257">
          <cell r="E257">
            <v>66</v>
          </cell>
        </row>
        <row r="258">
          <cell r="E258">
            <v>23</v>
          </cell>
        </row>
        <row r="261">
          <cell r="E261">
            <v>69</v>
          </cell>
        </row>
        <row r="262">
          <cell r="E262">
            <v>13</v>
          </cell>
        </row>
        <row r="263">
          <cell r="N263">
            <v>68</v>
          </cell>
        </row>
        <row r="265">
          <cell r="E265">
            <v>15.000000000000004</v>
          </cell>
          <cell r="F265">
            <v>3.4453125</v>
          </cell>
          <cell r="H265">
            <v>6.012372871333965</v>
          </cell>
          <cell r="J265">
            <v>3.0444469903027445</v>
          </cell>
          <cell r="L265">
            <v>2.4978676383632927</v>
          </cell>
        </row>
        <row r="266">
          <cell r="E266">
            <v>40</v>
          </cell>
          <cell r="H266">
            <v>9.5643555435419216</v>
          </cell>
          <cell r="J266">
            <v>4.8430418525025916</v>
          </cell>
          <cell r="L266">
            <v>3.9735549849078708</v>
          </cell>
        </row>
        <row r="267">
          <cell r="E267">
            <v>82</v>
          </cell>
        </row>
        <row r="272">
          <cell r="E272">
            <v>25.000000000000004</v>
          </cell>
        </row>
        <row r="273">
          <cell r="E273">
            <v>46.000000000000007</v>
          </cell>
          <cell r="F273">
            <v>10.565624999999999</v>
          </cell>
        </row>
        <row r="274">
          <cell r="E274">
            <v>58</v>
          </cell>
        </row>
        <row r="276">
          <cell r="E276">
            <v>89</v>
          </cell>
        </row>
        <row r="288">
          <cell r="D288">
            <v>82</v>
          </cell>
          <cell r="E288">
            <v>61.612882825438803</v>
          </cell>
        </row>
        <row r="289">
          <cell r="D289">
            <v>25</v>
          </cell>
          <cell r="E289">
            <v>25</v>
          </cell>
        </row>
        <row r="290">
          <cell r="D290">
            <v>89</v>
          </cell>
          <cell r="E290">
            <v>71.2</v>
          </cell>
        </row>
        <row r="291">
          <cell r="D291">
            <v>196</v>
          </cell>
          <cell r="E291">
            <v>157.81288282543881</v>
          </cell>
        </row>
        <row r="293">
          <cell r="C293">
            <v>9460000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>
        <row r="6">
          <cell r="K6">
            <v>9460000</v>
          </cell>
          <cell r="O6">
            <v>2.1568008211152222E-3</v>
          </cell>
          <cell r="S6">
            <v>20403.335767750003</v>
          </cell>
        </row>
        <row r="7">
          <cell r="O7">
            <v>1.9783633000418754E-3</v>
          </cell>
        </row>
        <row r="8">
          <cell r="O8">
            <v>1.7122207246889195E-3</v>
          </cell>
        </row>
        <row r="9">
          <cell r="O9">
            <v>1.575268255129076E-3</v>
          </cell>
        </row>
        <row r="12">
          <cell r="B12" t="str">
            <v>Fläche gesamt</v>
          </cell>
          <cell r="C12">
            <v>83882000000</v>
          </cell>
          <cell r="D12">
            <v>9772290.5432699975</v>
          </cell>
        </row>
        <row r="13">
          <cell r="B13" t="str">
            <v>Bauland</v>
          </cell>
          <cell r="C13">
            <v>2383200000</v>
          </cell>
          <cell r="D13">
            <v>3864818.1810719986</v>
          </cell>
        </row>
        <row r="14">
          <cell r="B14" t="str">
            <v>bebaute Fläche</v>
          </cell>
          <cell r="C14">
            <v>769300000</v>
          </cell>
          <cell r="D14">
            <v>830171.24385714298</v>
          </cell>
        </row>
        <row r="15">
          <cell r="C15">
            <v>0.32280127559583754</v>
          </cell>
          <cell r="D15">
            <v>0.21480214720654087</v>
          </cell>
        </row>
        <row r="16">
          <cell r="B16" t="str">
            <v>bebaubare Fläche</v>
          </cell>
          <cell r="C16">
            <v>0.21480214595794678</v>
          </cell>
          <cell r="D16">
            <v>7046253.7566462075</v>
          </cell>
        </row>
        <row r="17">
          <cell r="B17" t="str">
            <v>Landwirtschaftlich genutzte Fläche</v>
          </cell>
          <cell r="C17">
            <v>2114500000</v>
          </cell>
          <cell r="D17">
            <v>3292955.7401469992</v>
          </cell>
        </row>
        <row r="22">
          <cell r="N22">
            <v>3028209.1047799997</v>
          </cell>
          <cell r="P22">
            <v>3887212.196883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6">
          <cell r="C106">
            <v>74343.146229999998</v>
          </cell>
          <cell r="D106">
            <v>84178.389180000013</v>
          </cell>
          <cell r="E106">
            <v>5346.7912698026139</v>
          </cell>
          <cell r="F106">
            <v>6631.8640080000005</v>
          </cell>
          <cell r="I106">
            <v>31466.322609999999</v>
          </cell>
          <cell r="J106">
            <v>86950.583079999997</v>
          </cell>
        </row>
      </sheetData>
      <sheetData sheetId="10">
        <row r="2">
          <cell r="L2">
            <v>0.5</v>
          </cell>
        </row>
        <row r="3">
          <cell r="L3">
            <v>0.5</v>
          </cell>
        </row>
        <row r="4">
          <cell r="L4">
            <v>0.1</v>
          </cell>
        </row>
        <row r="5">
          <cell r="C5" t="str">
            <v>2010          [UBA 2016]</v>
          </cell>
          <cell r="D5" t="str">
            <v>2050      konstant [Streicher 2011]</v>
          </cell>
          <cell r="E5" t="str">
            <v>2050          0,8% Wachst. [Streicher 2011]</v>
          </cell>
          <cell r="F5" t="str">
            <v>2050        [Veigl 2015]</v>
          </cell>
          <cell r="G5" t="str">
            <v>2050          [UBA 2016]</v>
          </cell>
          <cell r="H5" t="str">
            <v>2050          [UBA 2017]</v>
          </cell>
          <cell r="I5" t="str">
            <v>2050      Streicher 0,8% Wachst.  ohne_tGeo</v>
          </cell>
          <cell r="J5" t="str">
            <v>2050      Streicher 0,8% Var1 Mobi LW UBA</v>
          </cell>
        </row>
        <row r="9">
          <cell r="B9" t="str">
            <v>Wasserkraft</v>
          </cell>
          <cell r="C9">
            <v>138</v>
          </cell>
          <cell r="D9">
            <v>161.30000000000001</v>
          </cell>
          <cell r="E9">
            <v>177</v>
          </cell>
          <cell r="F9">
            <v>155</v>
          </cell>
          <cell r="G9">
            <v>163</v>
          </cell>
          <cell r="H9">
            <v>173.22629999999998</v>
          </cell>
          <cell r="I9">
            <v>177</v>
          </cell>
          <cell r="J9">
            <v>177</v>
          </cell>
        </row>
        <row r="10">
          <cell r="B10" t="str">
            <v>Windkraft</v>
          </cell>
          <cell r="C10">
            <v>7</v>
          </cell>
          <cell r="D10">
            <v>48.6</v>
          </cell>
          <cell r="E10">
            <v>51.9</v>
          </cell>
          <cell r="F10">
            <v>43</v>
          </cell>
          <cell r="G10">
            <v>76</v>
          </cell>
          <cell r="H10">
            <v>106.06830000000001</v>
          </cell>
          <cell r="I10">
            <v>87.199999999999989</v>
          </cell>
          <cell r="J10">
            <v>108.86666666666666</v>
          </cell>
        </row>
        <row r="11">
          <cell r="B11" t="str">
            <v>Photovoltaik</v>
          </cell>
          <cell r="C11">
            <v>0</v>
          </cell>
          <cell r="D11">
            <v>57.900000000000006</v>
          </cell>
          <cell r="E11">
            <v>70.400000000000006</v>
          </cell>
          <cell r="F11">
            <v>108</v>
          </cell>
          <cell r="G11">
            <v>85</v>
          </cell>
          <cell r="H11">
            <v>100.59939999999999</v>
          </cell>
          <cell r="I11">
            <v>105.7</v>
          </cell>
          <cell r="J11">
            <v>127.36666666666667</v>
          </cell>
        </row>
        <row r="12">
          <cell r="B12" t="str">
            <v>Biogene</v>
          </cell>
          <cell r="C12">
            <v>237</v>
          </cell>
          <cell r="D12">
            <v>244</v>
          </cell>
          <cell r="E12">
            <v>293</v>
          </cell>
          <cell r="F12">
            <v>284</v>
          </cell>
          <cell r="G12">
            <v>282</v>
          </cell>
          <cell r="H12">
            <v>242.10040000000001</v>
          </cell>
          <cell r="I12">
            <v>293</v>
          </cell>
          <cell r="J12">
            <v>293</v>
          </cell>
        </row>
        <row r="13">
          <cell r="B13" t="str">
            <v>Solarthermie</v>
          </cell>
          <cell r="C13">
            <v>0</v>
          </cell>
          <cell r="D13">
            <v>50</v>
          </cell>
          <cell r="E13">
            <v>75</v>
          </cell>
          <cell r="F13">
            <v>64</v>
          </cell>
          <cell r="G13">
            <v>0</v>
          </cell>
          <cell r="H13">
            <v>20.502800000000001</v>
          </cell>
          <cell r="I13">
            <v>75</v>
          </cell>
          <cell r="J13">
            <v>75</v>
          </cell>
        </row>
        <row r="14">
          <cell r="B14" t="str">
            <v>Umgebungswärme Wärmepumpe</v>
          </cell>
          <cell r="C14">
            <v>13</v>
          </cell>
          <cell r="D14">
            <v>49</v>
          </cell>
          <cell r="E14">
            <v>68</v>
          </cell>
          <cell r="F14">
            <v>56</v>
          </cell>
          <cell r="G14">
            <v>54</v>
          </cell>
          <cell r="H14">
            <v>20.502800000000001</v>
          </cell>
          <cell r="I14">
            <v>68</v>
          </cell>
          <cell r="J14">
            <v>68</v>
          </cell>
        </row>
        <row r="15">
          <cell r="B15" t="str">
            <v>Tiefe Geo-thermie</v>
          </cell>
          <cell r="C15">
            <v>0</v>
          </cell>
          <cell r="D15">
            <v>10.6</v>
          </cell>
          <cell r="E15">
            <v>70.599999999999994</v>
          </cell>
          <cell r="F15">
            <v>55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Erdgas</v>
          </cell>
          <cell r="C16">
            <v>344</v>
          </cell>
          <cell r="D16">
            <v>0</v>
          </cell>
          <cell r="E16">
            <v>0</v>
          </cell>
          <cell r="F16">
            <v>0</v>
          </cell>
          <cell r="G16">
            <v>135</v>
          </cell>
          <cell r="H16">
            <v>78</v>
          </cell>
          <cell r="I16">
            <v>0</v>
          </cell>
          <cell r="J16">
            <v>0</v>
          </cell>
        </row>
        <row r="17">
          <cell r="B17" t="str">
            <v>Öl</v>
          </cell>
          <cell r="C17">
            <v>549</v>
          </cell>
          <cell r="D17">
            <v>0</v>
          </cell>
          <cell r="E17">
            <v>0</v>
          </cell>
          <cell r="F17">
            <v>73</v>
          </cell>
          <cell r="G17">
            <v>82</v>
          </cell>
          <cell r="H17">
            <v>45</v>
          </cell>
          <cell r="I17">
            <v>0</v>
          </cell>
          <cell r="J17">
            <v>0</v>
          </cell>
        </row>
        <row r="18">
          <cell r="B18" t="str">
            <v>Kohle</v>
          </cell>
          <cell r="C18">
            <v>143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2</v>
          </cell>
          <cell r="I18">
            <v>0</v>
          </cell>
          <cell r="J18">
            <v>0</v>
          </cell>
        </row>
        <row r="19">
          <cell r="B19" t="str">
            <v>Abfälle</v>
          </cell>
          <cell r="C19">
            <v>28</v>
          </cell>
          <cell r="D19">
            <v>0</v>
          </cell>
          <cell r="E19">
            <v>0</v>
          </cell>
          <cell r="F19">
            <v>27</v>
          </cell>
          <cell r="G19">
            <v>24</v>
          </cell>
          <cell r="H19">
            <v>14</v>
          </cell>
          <cell r="I19">
            <v>0</v>
          </cell>
          <cell r="J19">
            <v>0</v>
          </cell>
        </row>
        <row r="20">
          <cell r="B20" t="str">
            <v xml:space="preserve">Wasserstoff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21</v>
          </cell>
          <cell r="H20">
            <v>0</v>
          </cell>
          <cell r="I20">
            <v>0</v>
          </cell>
          <cell r="J20">
            <v>0</v>
          </cell>
        </row>
        <row r="21">
          <cell r="B21" t="str">
            <v>Elektrische Energie Export/Import</v>
          </cell>
          <cell r="C21">
            <v>8</v>
          </cell>
          <cell r="D21">
            <v>0</v>
          </cell>
          <cell r="E21">
            <v>0</v>
          </cell>
          <cell r="F21">
            <v>0</v>
          </cell>
          <cell r="G21">
            <v>-71</v>
          </cell>
          <cell r="H21">
            <v>0</v>
          </cell>
          <cell r="I21">
            <v>0</v>
          </cell>
          <cell r="J21">
            <v>0</v>
          </cell>
        </row>
        <row r="36">
          <cell r="J36" t="str">
            <v>2050      Streicher 0,8% Var1 Mobi LW UBA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66</v>
          </cell>
          <cell r="J42">
            <v>66</v>
          </cell>
        </row>
        <row r="43">
          <cell r="I43">
            <v>23</v>
          </cell>
          <cell r="J43">
            <v>23</v>
          </cell>
        </row>
        <row r="44">
          <cell r="I44">
            <v>89</v>
          </cell>
          <cell r="J44">
            <v>89</v>
          </cell>
        </row>
        <row r="45">
          <cell r="I45">
            <v>68</v>
          </cell>
          <cell r="J45">
            <v>68</v>
          </cell>
        </row>
        <row r="46">
          <cell r="I46">
            <v>69</v>
          </cell>
          <cell r="J46">
            <v>69</v>
          </cell>
        </row>
        <row r="47">
          <cell r="I47">
            <v>13</v>
          </cell>
          <cell r="J47">
            <v>13</v>
          </cell>
        </row>
        <row r="50">
          <cell r="I50">
            <v>15</v>
          </cell>
          <cell r="J50">
            <v>15</v>
          </cell>
        </row>
        <row r="51">
          <cell r="I51">
            <v>40</v>
          </cell>
          <cell r="J51">
            <v>40</v>
          </cell>
        </row>
        <row r="52">
          <cell r="I52">
            <v>43</v>
          </cell>
          <cell r="J52">
            <v>82</v>
          </cell>
        </row>
        <row r="55">
          <cell r="I55">
            <v>0</v>
          </cell>
          <cell r="J55">
            <v>0</v>
          </cell>
        </row>
        <row r="56">
          <cell r="I56">
            <v>86</v>
          </cell>
          <cell r="J56">
            <v>86</v>
          </cell>
        </row>
        <row r="57">
          <cell r="I57">
            <v>25</v>
          </cell>
          <cell r="J57">
            <v>25</v>
          </cell>
        </row>
        <row r="58">
          <cell r="I58">
            <v>46</v>
          </cell>
          <cell r="J58">
            <v>46</v>
          </cell>
        </row>
        <row r="59">
          <cell r="I59">
            <v>58</v>
          </cell>
          <cell r="J59">
            <v>58</v>
          </cell>
        </row>
        <row r="60">
          <cell r="I60">
            <v>0</v>
          </cell>
          <cell r="J60">
            <v>0</v>
          </cell>
        </row>
        <row r="61">
          <cell r="I61">
            <v>89</v>
          </cell>
          <cell r="J61">
            <v>89</v>
          </cell>
        </row>
        <row r="62">
          <cell r="J62">
            <v>215</v>
          </cell>
        </row>
        <row r="63">
          <cell r="J63">
            <v>89</v>
          </cell>
        </row>
        <row r="67">
          <cell r="J67">
            <v>285</v>
          </cell>
        </row>
        <row r="73">
          <cell r="B73" t="str">
            <v>Gebäude (Summe HH, Dienstl.)</v>
          </cell>
          <cell r="C73">
            <v>418</v>
          </cell>
          <cell r="D73">
            <v>210</v>
          </cell>
          <cell r="E73">
            <v>239</v>
          </cell>
          <cell r="F73">
            <v>208</v>
          </cell>
          <cell r="G73">
            <v>206</v>
          </cell>
          <cell r="H73">
            <v>241</v>
          </cell>
          <cell r="I73">
            <v>239</v>
          </cell>
          <cell r="J73">
            <v>239</v>
          </cell>
        </row>
        <row r="74">
          <cell r="B74" t="str">
            <v>Verkehr</v>
          </cell>
          <cell r="C74">
            <v>391</v>
          </cell>
          <cell r="D74">
            <v>85</v>
          </cell>
          <cell r="E74">
            <v>98</v>
          </cell>
          <cell r="F74">
            <v>99</v>
          </cell>
          <cell r="G74">
            <v>147</v>
          </cell>
          <cell r="H74">
            <v>137</v>
          </cell>
          <cell r="I74">
            <v>98</v>
          </cell>
          <cell r="J74">
            <v>137</v>
          </cell>
        </row>
        <row r="75">
          <cell r="B75" t="str">
            <v>Industrie / Produktion</v>
          </cell>
          <cell r="C75">
            <v>315</v>
          </cell>
          <cell r="D75">
            <v>201</v>
          </cell>
          <cell r="E75">
            <v>304</v>
          </cell>
          <cell r="F75">
            <v>262</v>
          </cell>
          <cell r="G75">
            <v>273</v>
          </cell>
          <cell r="H75">
            <v>233</v>
          </cell>
          <cell r="I75">
            <v>304</v>
          </cell>
          <cell r="J75">
            <v>304</v>
          </cell>
        </row>
        <row r="76">
          <cell r="B76" t="str">
            <v>Landwirtschaft</v>
          </cell>
          <cell r="C76">
            <v>14</v>
          </cell>
          <cell r="D76">
            <v>14</v>
          </cell>
          <cell r="E76">
            <v>14</v>
          </cell>
          <cell r="F76">
            <v>22</v>
          </cell>
          <cell r="G76">
            <v>11</v>
          </cell>
          <cell r="H76">
            <v>12</v>
          </cell>
          <cell r="I76">
            <v>0</v>
          </cell>
          <cell r="J76">
            <v>12</v>
          </cell>
        </row>
        <row r="211">
          <cell r="D211">
            <v>0.6</v>
          </cell>
        </row>
      </sheetData>
      <sheetData sheetId="11"/>
      <sheetData sheetId="12">
        <row r="27">
          <cell r="AL27">
            <v>127.96</v>
          </cell>
          <cell r="AO27">
            <v>110009.89115696501</v>
          </cell>
        </row>
        <row r="56">
          <cell r="D56">
            <v>209.73000000000002</v>
          </cell>
        </row>
        <row r="85">
          <cell r="N85">
            <v>124.7</v>
          </cell>
          <cell r="Q85">
            <v>140107.84826326772</v>
          </cell>
        </row>
        <row r="107">
          <cell r="J107">
            <v>204022</v>
          </cell>
        </row>
        <row r="127">
          <cell r="E127">
            <v>130.67000000000002</v>
          </cell>
          <cell r="J127">
            <v>135880</v>
          </cell>
        </row>
      </sheetData>
      <sheetData sheetId="13">
        <row r="32">
          <cell r="B32">
            <v>2500</v>
          </cell>
        </row>
        <row r="35">
          <cell r="B35">
            <v>0.12</v>
          </cell>
        </row>
        <row r="46">
          <cell r="F46">
            <v>8305.5</v>
          </cell>
        </row>
        <row r="49">
          <cell r="B49">
            <v>0.75137661982242443</v>
          </cell>
        </row>
        <row r="50">
          <cell r="B50">
            <v>1.4141278375149344</v>
          </cell>
        </row>
      </sheetData>
      <sheetData sheetId="14">
        <row r="8">
          <cell r="E8">
            <v>740085.82369031431</v>
          </cell>
          <cell r="F8">
            <v>0</v>
          </cell>
          <cell r="J8">
            <v>0</v>
          </cell>
          <cell r="K8">
            <v>0</v>
          </cell>
          <cell r="U8">
            <v>0</v>
          </cell>
        </row>
        <row r="9">
          <cell r="E9">
            <v>3833691.2907851925</v>
          </cell>
          <cell r="F9">
            <v>0</v>
          </cell>
          <cell r="J9">
            <v>0</v>
          </cell>
          <cell r="K9">
            <v>0</v>
          </cell>
          <cell r="U9">
            <v>0</v>
          </cell>
        </row>
        <row r="10">
          <cell r="E10">
            <v>89116.938050224388</v>
          </cell>
          <cell r="F10">
            <v>0</v>
          </cell>
          <cell r="J10">
            <v>0</v>
          </cell>
          <cell r="K10">
            <v>0</v>
          </cell>
          <cell r="U10">
            <v>0</v>
          </cell>
        </row>
        <row r="11">
          <cell r="E11">
            <v>329327.7272459864</v>
          </cell>
          <cell r="F11">
            <v>0</v>
          </cell>
          <cell r="J11">
            <v>0</v>
          </cell>
          <cell r="K11">
            <v>0</v>
          </cell>
          <cell r="U11">
            <v>0</v>
          </cell>
        </row>
        <row r="12">
          <cell r="E12">
            <v>1924283.9498328231</v>
          </cell>
          <cell r="F12">
            <v>198171.63923643436</v>
          </cell>
          <cell r="J12">
            <v>11629.813323283452</v>
          </cell>
          <cell r="K12">
            <v>0</v>
          </cell>
          <cell r="U12">
            <v>0</v>
          </cell>
        </row>
        <row r="13">
          <cell r="E13">
            <v>31014889.719121732</v>
          </cell>
          <cell r="F13">
            <v>4089880.2756000008</v>
          </cell>
          <cell r="J13">
            <v>234159.12718180986</v>
          </cell>
          <cell r="K13">
            <v>0</v>
          </cell>
          <cell r="U13">
            <v>0</v>
          </cell>
        </row>
        <row r="14">
          <cell r="E14">
            <v>2526662.1544959941</v>
          </cell>
          <cell r="F14">
            <v>1759960.1419199994</v>
          </cell>
          <cell r="J14">
            <v>160709.51318399998</v>
          </cell>
          <cell r="K14">
            <v>0</v>
          </cell>
          <cell r="U14">
            <v>0</v>
          </cell>
        </row>
        <row r="46">
          <cell r="E46">
            <v>1000</v>
          </cell>
        </row>
        <row r="48">
          <cell r="E48">
            <v>6.5</v>
          </cell>
        </row>
        <row r="52">
          <cell r="N52" t="str">
            <v>Betriebsgebiet</v>
          </cell>
          <cell r="U52">
            <v>238361.81</v>
          </cell>
        </row>
        <row r="53">
          <cell r="N53" t="str">
            <v>Industriegebiet</v>
          </cell>
          <cell r="U53">
            <v>73715</v>
          </cell>
        </row>
        <row r="54">
          <cell r="N54" t="str">
            <v>Kerngebiet</v>
          </cell>
          <cell r="U54">
            <v>473079.04000000004</v>
          </cell>
        </row>
        <row r="55">
          <cell r="N55" t="str">
            <v>Sondergebiet</v>
          </cell>
          <cell r="U55">
            <v>59266.200000000004</v>
          </cell>
        </row>
        <row r="56">
          <cell r="N56" t="str">
            <v>Wohngebiet</v>
          </cell>
          <cell r="U56">
            <v>839902.89000000013</v>
          </cell>
          <cell r="V56">
            <v>671922.31199999817</v>
          </cell>
        </row>
        <row r="57">
          <cell r="P57">
            <v>830171.24385714298</v>
          </cell>
          <cell r="U57">
            <v>1684324.9400000002</v>
          </cell>
          <cell r="V57">
            <v>1347459.9519999982</v>
          </cell>
        </row>
      </sheetData>
      <sheetData sheetId="15"/>
      <sheetData sheetId="16"/>
      <sheetData sheetId="17">
        <row r="24">
          <cell r="O24">
            <v>45652.912923809119</v>
          </cell>
          <cell r="P24">
            <v>6160.7568808098986</v>
          </cell>
          <cell r="Q24">
            <v>78381.54017813722</v>
          </cell>
        </row>
        <row r="27">
          <cell r="O27">
            <v>104450.78356819091</v>
          </cell>
          <cell r="P27">
            <v>14569.012671949025</v>
          </cell>
          <cell r="Q27">
            <v>40035.365511862772</v>
          </cell>
        </row>
      </sheetData>
      <sheetData sheetId="18">
        <row r="13">
          <cell r="B13" t="str">
            <v>Erdgas Haushalte</v>
          </cell>
          <cell r="C13" t="str">
            <v>Erdgas NWG</v>
          </cell>
          <cell r="D13" t="str">
            <v>Fernwärme Haushalte</v>
          </cell>
          <cell r="E13" t="str">
            <v>Fernwärme NWG</v>
          </cell>
          <cell r="F13" t="str">
            <v>Biomasse Haushalte</v>
          </cell>
          <cell r="G13" t="str">
            <v>Biomasse NWG</v>
          </cell>
          <cell r="H13" t="str">
            <v>Fremdstrom Haushalte</v>
          </cell>
          <cell r="I13" t="str">
            <v>Fremdstrom NWG</v>
          </cell>
          <cell r="J13" t="str">
            <v>Mobilität fossil</v>
          </cell>
          <cell r="K13" t="str">
            <v>Solarthermie</v>
          </cell>
          <cell r="L13" t="str">
            <v>Biomasse/Klärschlamm/Biogas</v>
          </cell>
          <cell r="M13" t="str">
            <v>Umweltwärme/kälte, Abwasser</v>
          </cell>
          <cell r="N13" t="str">
            <v>Photovoltaik</v>
          </cell>
          <cell r="O13" t="str">
            <v>Windkraft</v>
          </cell>
          <cell r="P13" t="str">
            <v>Wasserkraft</v>
          </cell>
        </row>
        <row r="14">
          <cell r="A14" t="str">
            <v>2008 Energiekataster</v>
          </cell>
          <cell r="B14">
            <v>65007.222000000002</v>
          </cell>
          <cell r="C14">
            <v>56181.667000000001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429.08300000000003</v>
          </cell>
          <cell r="I14">
            <v>107480</v>
          </cell>
          <cell r="J14">
            <v>130397.20556346241</v>
          </cell>
        </row>
        <row r="15">
          <cell r="A15" t="str">
            <v>2008 FH Hochrechnung</v>
          </cell>
          <cell r="B15">
            <v>65007.222000000002</v>
          </cell>
          <cell r="C15">
            <v>56181.667000000001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26610.733</v>
          </cell>
          <cell r="I15">
            <v>87582.877999999997</v>
          </cell>
          <cell r="J15">
            <v>130397.20556346241</v>
          </cell>
          <cell r="K15">
            <v>130397.1875</v>
          </cell>
          <cell r="L15">
            <v>130397.1875</v>
          </cell>
          <cell r="M15">
            <v>130397.1875</v>
          </cell>
          <cell r="N15">
            <v>130397.1875</v>
          </cell>
          <cell r="O15">
            <v>130397.1875</v>
          </cell>
          <cell r="P15">
            <v>130397.1875</v>
          </cell>
        </row>
        <row r="16">
          <cell r="A16" t="str">
            <v>EVN 2015</v>
          </cell>
          <cell r="B16">
            <v>79368.013999999996</v>
          </cell>
          <cell r="C16">
            <v>72133.240000000005</v>
          </cell>
          <cell r="D16">
            <v>5593.9830940000002</v>
          </cell>
          <cell r="E16">
            <v>3605.6899009999993</v>
          </cell>
          <cell r="F16">
            <v>3605.689453125</v>
          </cell>
          <cell r="G16">
            <v>3605.689453125</v>
          </cell>
          <cell r="H16">
            <v>31497.856</v>
          </cell>
          <cell r="I16">
            <v>85228.160000000003</v>
          </cell>
          <cell r="J16">
            <v>130397.20556346241</v>
          </cell>
          <cell r="K16">
            <v>130397.1875</v>
          </cell>
          <cell r="L16">
            <v>130397.1875</v>
          </cell>
          <cell r="M16">
            <v>130397.1875</v>
          </cell>
          <cell r="N16">
            <v>130397.1875</v>
          </cell>
          <cell r="O16">
            <v>130397.1875</v>
          </cell>
          <cell r="P16">
            <v>130397.1875</v>
          </cell>
        </row>
        <row r="17">
          <cell r="A17" t="str">
            <v>EVN 2016</v>
          </cell>
          <cell r="B17">
            <v>74580.330099999992</v>
          </cell>
          <cell r="C17">
            <v>75703.539099999995</v>
          </cell>
          <cell r="D17">
            <v>5515.1254880000015</v>
          </cell>
          <cell r="E17">
            <v>4157.9463750000004</v>
          </cell>
          <cell r="F17">
            <v>4157.9453125</v>
          </cell>
          <cell r="G17">
            <v>4157.9453125</v>
          </cell>
          <cell r="H17">
            <v>30688.386999999999</v>
          </cell>
          <cell r="I17">
            <v>84002.376999999993</v>
          </cell>
          <cell r="J17">
            <v>130397.20556346241</v>
          </cell>
          <cell r="K17">
            <v>130397.1875</v>
          </cell>
          <cell r="L17">
            <v>130397.1875</v>
          </cell>
          <cell r="M17">
            <v>130397.1875</v>
          </cell>
          <cell r="N17">
            <v>130397.1875</v>
          </cell>
          <cell r="O17">
            <v>130397.1875</v>
          </cell>
          <cell r="P17">
            <v>130397.1875</v>
          </cell>
        </row>
        <row r="18">
          <cell r="A18" t="str">
            <v>EVN 2017</v>
          </cell>
          <cell r="B18">
            <v>74343.146229999998</v>
          </cell>
          <cell r="C18">
            <v>84178.389180000013</v>
          </cell>
          <cell r="D18">
            <v>5346.7912698026139</v>
          </cell>
          <cell r="E18">
            <v>6631.8640080000005</v>
          </cell>
          <cell r="F18">
            <v>6631.86328125</v>
          </cell>
          <cell r="G18">
            <v>6631.86328125</v>
          </cell>
          <cell r="H18">
            <v>31466.322609999999</v>
          </cell>
          <cell r="I18">
            <v>86950.583079999997</v>
          </cell>
          <cell r="J18">
            <v>130397.20556346241</v>
          </cell>
          <cell r="K18">
            <v>130397.1875</v>
          </cell>
          <cell r="L18">
            <v>130397.1875</v>
          </cell>
          <cell r="M18">
            <v>130397.1875</v>
          </cell>
          <cell r="N18">
            <v>130397.1875</v>
          </cell>
          <cell r="O18">
            <v>130397.1875</v>
          </cell>
          <cell r="P18">
            <v>130397.1875</v>
          </cell>
        </row>
        <row r="20">
          <cell r="A20" t="str">
            <v>2036 FH Hochrechnung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65465.321461675085</v>
          </cell>
          <cell r="L20">
            <v>4947.9120000000003</v>
          </cell>
          <cell r="M20">
            <v>91303.98000000001</v>
          </cell>
          <cell r="N20">
            <v>98356.603367921372</v>
          </cell>
          <cell r="O20">
            <v>9098</v>
          </cell>
          <cell r="P20">
            <v>9782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9">
          <cell r="C29" t="str">
            <v xml:space="preserve">Kohle </v>
          </cell>
          <cell r="D29">
            <v>143</v>
          </cell>
          <cell r="I29">
            <v>46</v>
          </cell>
          <cell r="J29">
            <v>1</v>
          </cell>
        </row>
        <row r="30">
          <cell r="C30" t="str">
            <v xml:space="preserve">Öl </v>
          </cell>
          <cell r="D30">
            <v>549</v>
          </cell>
          <cell r="I30">
            <v>308</v>
          </cell>
          <cell r="J30">
            <v>82</v>
          </cell>
        </row>
        <row r="31">
          <cell r="C31" t="str">
            <v xml:space="preserve">Gas </v>
          </cell>
          <cell r="D31">
            <v>344</v>
          </cell>
          <cell r="I31">
            <v>217</v>
          </cell>
          <cell r="J31">
            <v>135</v>
          </cell>
        </row>
        <row r="32">
          <cell r="C32" t="str">
            <v xml:space="preserve">Abfälle </v>
          </cell>
          <cell r="D32">
            <v>28</v>
          </cell>
          <cell r="I32">
            <v>28</v>
          </cell>
          <cell r="J32">
            <v>24</v>
          </cell>
        </row>
        <row r="33">
          <cell r="C33" t="str">
            <v xml:space="preserve">Biomasse </v>
          </cell>
          <cell r="D33">
            <v>237</v>
          </cell>
          <cell r="I33">
            <v>319</v>
          </cell>
          <cell r="J33">
            <v>282</v>
          </cell>
        </row>
        <row r="34">
          <cell r="C34" t="str">
            <v xml:space="preserve">Umgebungswärme etc. </v>
          </cell>
          <cell r="D34">
            <v>13</v>
          </cell>
          <cell r="I34">
            <v>41</v>
          </cell>
          <cell r="J34">
            <v>54</v>
          </cell>
        </row>
        <row r="35">
          <cell r="C35" t="str">
            <v xml:space="preserve">Elektrische Energie </v>
          </cell>
          <cell r="D35">
            <v>8</v>
          </cell>
          <cell r="I35">
            <v>-51</v>
          </cell>
          <cell r="J35">
            <v>-71</v>
          </cell>
        </row>
        <row r="36">
          <cell r="C36" t="str">
            <v xml:space="preserve">Wasserkraft </v>
          </cell>
          <cell r="D36">
            <v>138</v>
          </cell>
          <cell r="I36">
            <v>154</v>
          </cell>
          <cell r="J36">
            <v>163</v>
          </cell>
        </row>
        <row r="37">
          <cell r="C37" t="str">
            <v xml:space="preserve">Wind </v>
          </cell>
          <cell r="D37">
            <v>7</v>
          </cell>
          <cell r="I37">
            <v>63</v>
          </cell>
          <cell r="J37">
            <v>76</v>
          </cell>
        </row>
        <row r="38">
          <cell r="C38" t="str">
            <v xml:space="preserve">Photovoltaik </v>
          </cell>
          <cell r="D38">
            <v>0</v>
          </cell>
          <cell r="I38">
            <v>53</v>
          </cell>
          <cell r="J38">
            <v>85</v>
          </cell>
        </row>
        <row r="39">
          <cell r="C39" t="str">
            <v xml:space="preserve">Wasserstoff </v>
          </cell>
          <cell r="D39">
            <v>0</v>
          </cell>
          <cell r="I39">
            <v>1</v>
          </cell>
          <cell r="J39">
            <v>21</v>
          </cell>
        </row>
        <row r="40">
          <cell r="C40" t="str">
            <v xml:space="preserve">energetischer Endverbrauch </v>
          </cell>
          <cell r="D40">
            <v>1467</v>
          </cell>
          <cell r="I40">
            <v>1179</v>
          </cell>
          <cell r="J40">
            <v>853</v>
          </cell>
        </row>
        <row r="43">
          <cell r="C43">
            <v>391</v>
          </cell>
          <cell r="D43">
            <v>276</v>
          </cell>
          <cell r="E43">
            <v>147</v>
          </cell>
        </row>
        <row r="44">
          <cell r="C44">
            <v>315</v>
          </cell>
          <cell r="D44">
            <v>320</v>
          </cell>
          <cell r="E44">
            <v>273</v>
          </cell>
        </row>
        <row r="45">
          <cell r="C45">
            <v>287</v>
          </cell>
          <cell r="D45">
            <v>202</v>
          </cell>
          <cell r="E45">
            <v>140</v>
          </cell>
        </row>
        <row r="46">
          <cell r="C46">
            <v>131</v>
          </cell>
          <cell r="D46">
            <v>102</v>
          </cell>
          <cell r="E46">
            <v>66</v>
          </cell>
        </row>
        <row r="47">
          <cell r="C47">
            <v>14</v>
          </cell>
          <cell r="D47">
            <v>12</v>
          </cell>
          <cell r="E47">
            <v>11</v>
          </cell>
        </row>
        <row r="48">
          <cell r="C48">
            <v>1138</v>
          </cell>
          <cell r="D48">
            <v>912</v>
          </cell>
          <cell r="E48">
            <v>637</v>
          </cell>
        </row>
        <row r="60">
          <cell r="B60" t="str">
            <v xml:space="preserve">Bioenergie </v>
          </cell>
          <cell r="C60">
            <v>340</v>
          </cell>
          <cell r="D60">
            <v>319</v>
          </cell>
          <cell r="E60">
            <v>282</v>
          </cell>
        </row>
        <row r="61">
          <cell r="B61" t="str">
            <v xml:space="preserve">Wasserkraft </v>
          </cell>
          <cell r="C61">
            <v>195</v>
          </cell>
          <cell r="D61">
            <v>154</v>
          </cell>
          <cell r="E61">
            <v>163</v>
          </cell>
        </row>
        <row r="62">
          <cell r="B62" t="str">
            <v xml:space="preserve">Wind </v>
          </cell>
          <cell r="C62">
            <v>63</v>
          </cell>
          <cell r="D62">
            <v>63</v>
          </cell>
          <cell r="E62">
            <v>76</v>
          </cell>
        </row>
        <row r="63">
          <cell r="B63" t="str">
            <v xml:space="preserve">Umgebungswärme etc. </v>
          </cell>
          <cell r="C63">
            <v>22</v>
          </cell>
          <cell r="D63">
            <v>41</v>
          </cell>
          <cell r="E63">
            <v>54</v>
          </cell>
        </row>
        <row r="64">
          <cell r="B64" t="str">
            <v xml:space="preserve">Solarthermie </v>
          </cell>
          <cell r="C64">
            <v>27</v>
          </cell>
          <cell r="D64">
            <v>27</v>
          </cell>
        </row>
        <row r="65">
          <cell r="B65" t="str">
            <v xml:space="preserve">Photovoltaik </v>
          </cell>
          <cell r="C65">
            <v>67</v>
          </cell>
          <cell r="D65">
            <v>53</v>
          </cell>
          <cell r="E65">
            <v>85</v>
          </cell>
        </row>
        <row r="66">
          <cell r="B66" t="str">
            <v xml:space="preserve">Summe </v>
          </cell>
          <cell r="C66" t="str">
            <v xml:space="preserve">714 bzw. 781 </v>
          </cell>
          <cell r="D66">
            <v>629</v>
          </cell>
          <cell r="E66">
            <v>659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5">
          <cell r="D5" t="str">
            <v>Haushalte</v>
          </cell>
          <cell r="F5" t="str">
            <v>Sachgüterindustrie</v>
          </cell>
          <cell r="H5" t="str">
            <v>Handel</v>
          </cell>
          <cell r="J5" t="str">
            <v>Infrastruktur</v>
          </cell>
          <cell r="L5" t="str">
            <v>Rest</v>
          </cell>
        </row>
        <row r="7">
          <cell r="D7">
            <v>2247</v>
          </cell>
          <cell r="E7">
            <v>1</v>
          </cell>
          <cell r="F7">
            <v>8</v>
          </cell>
          <cell r="G7">
            <v>5.0893498991672549E-5</v>
          </cell>
          <cell r="H7">
            <v>17</v>
          </cell>
          <cell r="I7">
            <v>2.9570874428151472E-4</v>
          </cell>
          <cell r="J7">
            <v>0</v>
          </cell>
          <cell r="K7">
            <v>0</v>
          </cell>
          <cell r="L7">
            <v>8</v>
          </cell>
          <cell r="M7">
            <v>8.344633357671847E-4</v>
          </cell>
          <cell r="N7">
            <v>2280</v>
          </cell>
        </row>
        <row r="8">
          <cell r="D8">
            <v>529</v>
          </cell>
          <cell r="N8">
            <v>529</v>
          </cell>
        </row>
        <row r="9">
          <cell r="D9">
            <v>529</v>
          </cell>
          <cell r="N9">
            <v>529</v>
          </cell>
        </row>
        <row r="10">
          <cell r="D10">
            <v>3305</v>
          </cell>
          <cell r="N10">
            <v>3326</v>
          </cell>
        </row>
        <row r="11">
          <cell r="D11">
            <v>14404</v>
          </cell>
          <cell r="N11">
            <v>15080</v>
          </cell>
        </row>
        <row r="12">
          <cell r="D12">
            <v>0</v>
          </cell>
          <cell r="N12">
            <v>11510</v>
          </cell>
        </row>
        <row r="13">
          <cell r="D13">
            <v>156</v>
          </cell>
          <cell r="N13">
            <v>6574</v>
          </cell>
        </row>
        <row r="14">
          <cell r="D14">
            <v>0</v>
          </cell>
          <cell r="N14">
            <v>128</v>
          </cell>
        </row>
        <row r="15">
          <cell r="D15">
            <v>13685</v>
          </cell>
          <cell r="N15">
            <v>23755</v>
          </cell>
        </row>
        <row r="16">
          <cell r="D16">
            <v>7546</v>
          </cell>
          <cell r="N16">
            <v>53406</v>
          </cell>
        </row>
        <row r="17">
          <cell r="D17">
            <v>0</v>
          </cell>
          <cell r="N17">
            <v>1369</v>
          </cell>
        </row>
        <row r="18">
          <cell r="D18">
            <v>1770</v>
          </cell>
          <cell r="N18">
            <v>2396</v>
          </cell>
        </row>
        <row r="19">
          <cell r="D19">
            <v>234026</v>
          </cell>
          <cell r="N19">
            <v>436280</v>
          </cell>
        </row>
        <row r="20">
          <cell r="D20">
            <v>0</v>
          </cell>
          <cell r="N20">
            <v>268</v>
          </cell>
        </row>
        <row r="21">
          <cell r="B21" t="str">
            <v>Wärmepumpe</v>
          </cell>
          <cell r="C21" t="str">
            <v>GJ/a</v>
          </cell>
          <cell r="D21">
            <v>571</v>
          </cell>
          <cell r="N21">
            <v>626</v>
          </cell>
        </row>
        <row r="22">
          <cell r="D22">
            <v>0</v>
          </cell>
          <cell r="N22">
            <v>0</v>
          </cell>
        </row>
        <row r="23">
          <cell r="N23">
            <v>1224</v>
          </cell>
        </row>
        <row r="24">
          <cell r="N24">
            <v>0</v>
          </cell>
        </row>
        <row r="25">
          <cell r="N25">
            <v>7</v>
          </cell>
        </row>
        <row r="26">
          <cell r="N26">
            <v>1</v>
          </cell>
        </row>
        <row r="27">
          <cell r="N27">
            <v>13342</v>
          </cell>
        </row>
        <row r="28">
          <cell r="N28">
            <v>8722</v>
          </cell>
        </row>
        <row r="29">
          <cell r="N29">
            <v>402375</v>
          </cell>
        </row>
      </sheetData>
      <sheetData sheetId="47">
        <row r="22">
          <cell r="A22" t="str">
            <v>EFH_klein</v>
          </cell>
          <cell r="B22">
            <v>151581.92648339999</v>
          </cell>
        </row>
        <row r="23">
          <cell r="A23" t="str">
            <v>EFH_großDoppelhaus</v>
          </cell>
          <cell r="B23">
            <v>339297.43656638899</v>
          </cell>
        </row>
        <row r="24">
          <cell r="A24" t="str">
            <v>MFH</v>
          </cell>
          <cell r="B24">
            <v>261507.25988064997</v>
          </cell>
        </row>
        <row r="25">
          <cell r="A25" t="str">
            <v>Betrieb</v>
          </cell>
          <cell r="B25">
            <v>145238.5638296796</v>
          </cell>
        </row>
        <row r="26">
          <cell r="A26" t="str">
            <v>Industrie</v>
          </cell>
          <cell r="B26">
            <v>15420.1914196176</v>
          </cell>
        </row>
        <row r="27">
          <cell r="A27" t="str">
            <v>Handel</v>
          </cell>
          <cell r="B27">
            <v>67007.138875548801</v>
          </cell>
        </row>
        <row r="28">
          <cell r="A28" t="str">
            <v>Büro/Verwaltung</v>
          </cell>
          <cell r="B28">
            <v>109920.77750998901</v>
          </cell>
        </row>
        <row r="29">
          <cell r="A29" t="str">
            <v>Sonstige (Infrastruktur) eingeschossig</v>
          </cell>
          <cell r="B29">
            <v>12564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11" sqref="G11"/>
    </sheetView>
  </sheetViews>
  <sheetFormatPr baseColWidth="10" defaultRowHeight="15" x14ac:dyDescent="0.25"/>
  <cols>
    <col min="2" max="2" width="36.7109375" customWidth="1"/>
  </cols>
  <sheetData>
    <row r="1" spans="1:14" x14ac:dyDescent="0.25">
      <c r="A1" t="s">
        <v>699</v>
      </c>
      <c r="B1" t="s">
        <v>700</v>
      </c>
      <c r="C1" t="s">
        <v>701</v>
      </c>
      <c r="D1" t="s">
        <v>664</v>
      </c>
      <c r="E1" t="s">
        <v>322</v>
      </c>
      <c r="F1" t="s">
        <v>680</v>
      </c>
      <c r="G1" t="s">
        <v>681</v>
      </c>
      <c r="H1" t="s">
        <v>0</v>
      </c>
      <c r="I1" t="s">
        <v>138</v>
      </c>
      <c r="J1" t="s">
        <v>1</v>
      </c>
      <c r="K1" t="s">
        <v>695</v>
      </c>
      <c r="L1" t="s">
        <v>682</v>
      </c>
      <c r="M1" t="s">
        <v>704</v>
      </c>
      <c r="N1" t="s">
        <v>679</v>
      </c>
    </row>
    <row r="2" spans="1:14" x14ac:dyDescent="0.25">
      <c r="A2" s="415" t="s">
        <v>698</v>
      </c>
      <c r="B2" t="str">
        <f>CONCATENATE(scenarios!A6)</f>
        <v>Energie und Klimazukunft 2030 (Veigl17)</v>
      </c>
      <c r="C2" s="363">
        <v>2019</v>
      </c>
      <c r="D2">
        <v>2030</v>
      </c>
      <c r="E2" s="412">
        <f>scenarios!C6/scenarios!C$5</f>
        <v>1.3155041873554014</v>
      </c>
      <c r="F2" s="412">
        <f>scenarios!E6/scenarios!E$5</f>
        <v>0</v>
      </c>
      <c r="G2" s="412">
        <f>scenarios!F6/scenarios!F$5</f>
        <v>1.5149299281240221</v>
      </c>
      <c r="H2" s="412">
        <f>scenarios!G6/scenarios!G$5</f>
        <v>1.2400659119833537</v>
      </c>
      <c r="I2" s="412">
        <f>scenarios!H6/scenarios!H$5</f>
        <v>1.5149912613190106</v>
      </c>
      <c r="J2" s="412">
        <f>scenarios!I6/scenarios!I$5</f>
        <v>9.6431914351689301</v>
      </c>
      <c r="K2" s="412">
        <f>scenarios!J6/scenarios!J$5</f>
        <v>1.5604765524182156</v>
      </c>
      <c r="L2" s="412">
        <f>scenarios!K6/scenarios!K$5</f>
        <v>1.3952893848045242</v>
      </c>
      <c r="M2" s="412">
        <f>scenarios!L6/scenarios!L$5</f>
        <v>1.2285905735406351</v>
      </c>
      <c r="N2" s="412">
        <f>scenarios!M6/scenarios!M$5</f>
        <v>1.3414399842898104</v>
      </c>
    </row>
    <row r="3" spans="1:14" x14ac:dyDescent="0.25">
      <c r="A3" s="415"/>
      <c r="B3" t="str">
        <f>CONCATENATE(scenarios!A7)</f>
        <v>Erneuerbare Energie 2030 (UBA16)</v>
      </c>
      <c r="C3" s="363">
        <v>2019</v>
      </c>
      <c r="D3">
        <v>2030</v>
      </c>
      <c r="E3" s="412">
        <f>scenarios!C7/scenarios!C$5</f>
        <v>1.229825046815729</v>
      </c>
      <c r="F3" s="412">
        <f>scenarios!E7/scenarios!E$5</f>
        <v>-4.4652550086081169</v>
      </c>
      <c r="G3" s="412">
        <f>scenarios!F7/scenarios!F$5</f>
        <v>1.6116256358091241</v>
      </c>
      <c r="H3" s="412">
        <f>scenarios!G7/scenarios!G$5</f>
        <v>1.2304654016970311</v>
      </c>
      <c r="I3" s="412">
        <f>scenarios!H7/scenarios!H$5</f>
        <v>2.2090686531326038</v>
      </c>
      <c r="J3" s="412">
        <f>scenarios!I7/scenarios!I$5</f>
        <v>11.194487448652627</v>
      </c>
      <c r="K3" s="412">
        <f>scenarios!J7/scenarios!J$5</f>
        <v>1.7394689543241466</v>
      </c>
      <c r="L3" s="412">
        <f>scenarios!K7/scenarios!K$5</f>
        <v>1.204787864878466</v>
      </c>
      <c r="M3" s="412">
        <f>scenarios!L7/scenarios!L$5</f>
        <v>1.2190789045841917</v>
      </c>
      <c r="N3" s="412">
        <f>scenarios!M7/scenarios!M$5</f>
        <v>1.3310546424759537</v>
      </c>
    </row>
    <row r="4" spans="1:14" x14ac:dyDescent="0.25">
      <c r="A4" s="415"/>
      <c r="B4" t="str">
        <f>CONCATENATE(scenarios!A8)</f>
        <v>WEM 2030 (UBA17)</v>
      </c>
      <c r="C4" s="363">
        <v>2019</v>
      </c>
      <c r="D4">
        <v>2030</v>
      </c>
      <c r="E4" s="412">
        <f>scenarios!C8/scenarios!C$5</f>
        <v>1.276049666412173</v>
      </c>
      <c r="F4" s="412">
        <f>scenarios!E8/scenarios!E$5</f>
        <v>0.8772603160330289</v>
      </c>
      <c r="G4" s="412">
        <f>scenarios!F8/scenarios!F$5</f>
        <v>1.3502183173494482</v>
      </c>
      <c r="H4" s="412">
        <f>scenarios!G8/scenarios!G$5</f>
        <v>1.255730744600537</v>
      </c>
      <c r="I4" s="412">
        <f>scenarios!H8/scenarios!H$5</f>
        <v>0.9094527774052934</v>
      </c>
      <c r="J4" s="412">
        <f>scenarios!I8/scenarios!I$5</f>
        <v>6.8600825331406092</v>
      </c>
      <c r="K4" s="412">
        <f>scenarios!J8/scenarios!J$5</f>
        <v>1.3629992245198195</v>
      </c>
      <c r="L4" s="412">
        <f>scenarios!K8/scenarios!K$5</f>
        <v>1.2970827374935381</v>
      </c>
      <c r="M4" s="412">
        <f>scenarios!L8/scenarios!L$5</f>
        <v>1.2441104467212325</v>
      </c>
      <c r="N4" s="412">
        <f>scenarios!M8/scenarios!M$5</f>
        <v>1.3583854003494196</v>
      </c>
    </row>
    <row r="5" spans="1:14" x14ac:dyDescent="0.25">
      <c r="A5" s="415"/>
      <c r="B5" t="str">
        <f>CONCATENATE(scenarios!A9)</f>
        <v>Transition 2030 (UBA17)</v>
      </c>
      <c r="C5" s="363">
        <v>2019</v>
      </c>
      <c r="D5">
        <v>2030</v>
      </c>
      <c r="E5" s="412">
        <f>scenarios!C9/scenarios!C$5</f>
        <v>1.3208834402251213</v>
      </c>
      <c r="F5" s="412">
        <f>scenarios!E9/scenarios!E$5</f>
        <v>-1.4036165056528462</v>
      </c>
      <c r="G5" s="412">
        <f>scenarios!F9/scenarios!F$5</f>
        <v>1.5327359458119789</v>
      </c>
      <c r="H5" s="412">
        <f>scenarios!G9/scenarios!G$5</f>
        <v>1.2135045001911942</v>
      </c>
      <c r="I5" s="412">
        <f>scenarios!H9/scenarios!H$5</f>
        <v>1.9603986921467997</v>
      </c>
      <c r="J5" s="412">
        <f>scenarios!I9/scenarios!I$5</f>
        <v>8.1053120358559028</v>
      </c>
      <c r="K5" s="412">
        <f>scenarios!J9/scenarios!J$5</f>
        <v>1.5766430757495475</v>
      </c>
      <c r="L5" s="412">
        <f>scenarios!K9/scenarios!K$5</f>
        <v>1.4355656572430511</v>
      </c>
      <c r="M5" s="412">
        <f>scenarios!L9/scenarios!L$5</f>
        <v>1.2022749560944745</v>
      </c>
      <c r="N5" s="412">
        <f>scenarios!M9/scenarios!M$5</f>
        <v>1.3127072052714737</v>
      </c>
    </row>
    <row r="6" spans="1:14" x14ac:dyDescent="0.25">
      <c r="A6" s="415"/>
      <c r="B6" t="str">
        <f>CONCATENATE(scenarios!A10)</f>
        <v>Energie und Klimazukunft 2050 (Veigl17)</v>
      </c>
      <c r="C6" s="363">
        <v>2019</v>
      </c>
      <c r="D6">
        <v>2050</v>
      </c>
      <c r="E6" s="412">
        <f>scenarios!C10/scenarios!C$5</f>
        <v>1.4079086960457552</v>
      </c>
      <c r="F6" s="412">
        <f>scenarios!E10/scenarios!E$5</f>
        <v>0</v>
      </c>
      <c r="G6" s="412">
        <f>scenarios!F10/scenarios!F$5</f>
        <v>2.0574261508627099</v>
      </c>
      <c r="H6" s="412">
        <f>scenarios!G10/scenarios!G$5</f>
        <v>1.2400659119833537</v>
      </c>
      <c r="I6" s="412">
        <f>scenarios!H10/scenarios!H$5</f>
        <v>2.5367295538364827</v>
      </c>
      <c r="J6" s="412">
        <f>scenarios!I10/scenarios!I$5</f>
        <v>24.736882377172471</v>
      </c>
      <c r="K6" s="412">
        <f>scenarios!J10/scenarios!J$5</f>
        <v>2.2549384682333282</v>
      </c>
      <c r="L6" s="412">
        <f>scenarios!K10/scenarios!K$5</f>
        <v>1.5260977646299492</v>
      </c>
      <c r="M6" s="412">
        <f>scenarios!L10/scenarios!L$5</f>
        <v>1.2285905735406351</v>
      </c>
      <c r="N6" s="412">
        <f>scenarios!M10/scenarios!M$5</f>
        <v>1.3414399842898104</v>
      </c>
    </row>
    <row r="7" spans="1:14" x14ac:dyDescent="0.25">
      <c r="A7" s="415"/>
      <c r="B7" t="str">
        <f>CONCATENATE(scenarios!A11)</f>
        <v>Erneuerbare Energie 2050 (UBA16)</v>
      </c>
      <c r="C7" s="363">
        <v>2019</v>
      </c>
      <c r="D7">
        <v>2050</v>
      </c>
      <c r="E7" s="412">
        <f>scenarios!C11/scenarios!C$5</f>
        <v>1.3227036746397631</v>
      </c>
      <c r="F7" s="412">
        <f>scenarios!E11/scenarios!E$5</f>
        <v>-6.2285482438345046</v>
      </c>
      <c r="G7" s="412">
        <f>scenarios!F11/scenarios!F$5</f>
        <v>1.816667065301379</v>
      </c>
      <c r="H7" s="412">
        <f>scenarios!G11/scenarios!G$5</f>
        <v>1.304069313892172</v>
      </c>
      <c r="I7" s="412">
        <f>scenarios!H11/scenarios!H$5</f>
        <v>2.6741357380026258</v>
      </c>
      <c r="J7" s="412">
        <f>scenarios!I11/scenarios!I$5</f>
        <v>17.777013776137505</v>
      </c>
      <c r="K7" s="412">
        <f>scenarios!J11/scenarios!J$5</f>
        <v>2.1024318811761082</v>
      </c>
      <c r="L7" s="412">
        <f>scenarios!K11/scenarios!K$5</f>
        <v>0.83116825734312116</v>
      </c>
      <c r="M7" s="412">
        <f>scenarios!L11/scenarios!L$5</f>
        <v>1.2920016999169259</v>
      </c>
      <c r="N7" s="412">
        <f>scenarios!M11/scenarios!M$5</f>
        <v>1.4106755963821875</v>
      </c>
    </row>
    <row r="8" spans="1:14" x14ac:dyDescent="0.25">
      <c r="A8" s="415"/>
      <c r="B8" t="str">
        <f>CONCATENATE(scenarios!A12)</f>
        <v>WEM 2050 (UBA17)</v>
      </c>
      <c r="C8" s="363">
        <v>2019</v>
      </c>
      <c r="D8">
        <v>2050</v>
      </c>
      <c r="E8" s="412">
        <f>scenarios!C12/scenarios!C$5</f>
        <v>1.4879016159378382</v>
      </c>
      <c r="F8" s="412">
        <f>scenarios!E12/scenarios!E$5</f>
        <v>3.4213152325288125</v>
      </c>
      <c r="G8" s="412">
        <f>scenarios!F12/scenarios!F$5</f>
        <v>1.4342391691196372</v>
      </c>
      <c r="H8" s="412">
        <f>scenarios!G12/scenarios!G$5</f>
        <v>1.255730744600537</v>
      </c>
      <c r="I8" s="412">
        <f>scenarios!H12/scenarios!H$5</f>
        <v>0.96480280697580889</v>
      </c>
      <c r="J8" s="412">
        <f>scenarios!I12/scenarios!I$5</f>
        <v>12.980993479315879</v>
      </c>
      <c r="K8" s="412">
        <f>scenarios!J12/scenarios!J$5</f>
        <v>1.5745625778635342</v>
      </c>
      <c r="L8" s="412">
        <f>scenarios!K12/scenarios!K$5</f>
        <v>0.90781442465707596</v>
      </c>
      <c r="M8" s="412">
        <f>scenarios!L12/scenarios!L$5</f>
        <v>1.2441104467212325</v>
      </c>
      <c r="N8" s="412">
        <f>scenarios!M12/scenarios!M$5</f>
        <v>1.3583854003494196</v>
      </c>
    </row>
    <row r="9" spans="1:14" x14ac:dyDescent="0.25">
      <c r="A9" s="415"/>
      <c r="B9" t="str">
        <f>CONCATENATE(scenarios!A13)</f>
        <v>Transition 2050 (UBA17)</v>
      </c>
      <c r="C9" s="363">
        <v>2019</v>
      </c>
      <c r="D9">
        <v>2050</v>
      </c>
      <c r="E9" s="412">
        <f>scenarios!C13/scenarios!C$5</f>
        <v>1.9457839165748669</v>
      </c>
      <c r="F9" s="412">
        <f>scenarios!E13/scenarios!E$5</f>
        <v>0</v>
      </c>
      <c r="G9" s="412">
        <f>scenarios!F13/scenarios!F$5</f>
        <v>2.1370442988830276</v>
      </c>
      <c r="H9" s="412">
        <f>scenarios!G13/scenarios!G$5</f>
        <v>1.3538159580258009</v>
      </c>
      <c r="I9" s="412">
        <f>scenarios!H13/scenarios!H$5</f>
        <v>3.5958141425632144</v>
      </c>
      <c r="J9" s="412">
        <f>scenarios!I13/scenarios!I$5</f>
        <v>19.966437501113685</v>
      </c>
      <c r="K9" s="412">
        <f>scenarios!J13/scenarios!J$5</f>
        <v>2.3921670306598264</v>
      </c>
      <c r="L9" s="412">
        <f>scenarios!K13/scenarios!K$5</f>
        <v>1.3639281585808376</v>
      </c>
      <c r="M9" s="412">
        <f>scenarios!L13/scenarios!L$5</f>
        <v>1.341287997892898</v>
      </c>
      <c r="N9" s="412">
        <f>scenarios!M13/scenarios!M$5</f>
        <v>1.4644889758809876</v>
      </c>
    </row>
    <row r="10" spans="1:14" x14ac:dyDescent="0.25">
      <c r="A10" s="415"/>
      <c r="B10" t="str">
        <f>CONCATENATE(scenarios!A14)</f>
        <v>100% Erneuerbare Deckung 2050 (FLUCCO+)</v>
      </c>
      <c r="C10" s="363">
        <v>2019</v>
      </c>
      <c r="D10">
        <v>2050</v>
      </c>
      <c r="E10" s="412">
        <f>scenarios!C14/scenarios!C$5</f>
        <v>1.4679212771544103</v>
      </c>
      <c r="F10" s="412">
        <f>scenarios!E14/scenarios!E$5</f>
        <v>0</v>
      </c>
      <c r="G10" s="412">
        <f>scenarios!F14/scenarios!F$5</f>
        <v>1.6122102612883962</v>
      </c>
      <c r="H10" s="412">
        <f>scenarios!G14/scenarios!G$5</f>
        <v>0.97597387928328605</v>
      </c>
      <c r="I10" s="412">
        <f>scenarios!H14/scenarios!H$5</f>
        <v>3.0303275447952549</v>
      </c>
      <c r="J10" s="412">
        <f>scenarios!I14/scenarios!I$5</f>
        <v>20.860469084847619</v>
      </c>
      <c r="K10" s="412">
        <f>scenarios!J14/scenarios!J$5</f>
        <v>2.0221206587975553</v>
      </c>
      <c r="L10" s="412">
        <f>scenarios!K14/scenarios!K$5</f>
        <v>0.18966049375345029</v>
      </c>
      <c r="M10" s="412">
        <f>scenarios!L14/scenarios!L$5</f>
        <v>0.96694239920807301</v>
      </c>
      <c r="N10" s="412">
        <f>scenarios!M14/scenarios!M$5</f>
        <v>1.0557587081795463</v>
      </c>
    </row>
    <row r="11" spans="1:14" x14ac:dyDescent="0.25">
      <c r="B11" t="str">
        <f>CONCATENATE(scenarios!A15)</f>
        <v>100% Erneuerbare Deckung 2050 inkl Methan (FLUCCO+)</v>
      </c>
      <c r="C11" s="363">
        <v>2019</v>
      </c>
      <c r="D11">
        <v>2050</v>
      </c>
      <c r="E11" s="412">
        <f>scenarios!C15/scenarios!C$5</f>
        <v>1.9612120524040533</v>
      </c>
      <c r="F11" s="412">
        <f>scenarios!E15/scenarios!E$5</f>
        <v>0</v>
      </c>
      <c r="G11" s="412">
        <f>scenarios!F15/scenarios!F$5</f>
        <v>2.1539889397731593</v>
      </c>
      <c r="H11" s="412">
        <f>scenarios!G15/scenarios!G$5</f>
        <v>1.4159715900156888</v>
      </c>
      <c r="I11" s="412">
        <f>scenarios!H15/scenarios!H$5</f>
        <v>3.8353225193959712</v>
      </c>
      <c r="J11" s="412">
        <f>scenarios!I15/scenarios!I$5</f>
        <v>26.698326033563141</v>
      </c>
      <c r="K11" s="412">
        <f>scenarios!J15/scenarios!J$5</f>
        <v>2.7072526638873025</v>
      </c>
      <c r="L11" s="412">
        <f>scenarios!K15/scenarios!K$5</f>
        <v>0.18962839102634962</v>
      </c>
      <c r="M11" s="412">
        <f>scenarios!L15/scenarios!L$5</f>
        <v>1.4028684532681299</v>
      </c>
      <c r="N11" s="412">
        <f>scenarios!M15/scenarios!M$5</f>
        <v>1.5317257648244755</v>
      </c>
    </row>
  </sheetData>
  <mergeCells count="1">
    <mergeCell ref="A2:A10"/>
  </mergeCells>
  <conditionalFormatting sqref="E2:N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{6F2B9C07-9B37-422F-8D69-5260438DE17C}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2B9C07-9B37-422F-8D69-5260438DE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E2:N11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81"/>
  <sheetViews>
    <sheetView topLeftCell="A222" zoomScale="85" zoomScaleNormal="85" workbookViewId="0">
      <selection activeCell="E237" sqref="E237"/>
    </sheetView>
  </sheetViews>
  <sheetFormatPr baseColWidth="10" defaultRowHeight="15" x14ac:dyDescent="0.25"/>
  <cols>
    <col min="2" max="2" width="18.7109375" customWidth="1"/>
  </cols>
  <sheetData>
    <row r="1" spans="2:25" ht="20.25" thickBot="1" x14ac:dyDescent="0.35">
      <c r="B1" s="181" t="s">
        <v>113</v>
      </c>
    </row>
    <row r="2" spans="2:25" ht="21" thickTop="1" thickBot="1" x14ac:dyDescent="0.35">
      <c r="B2" s="181" t="s">
        <v>347</v>
      </c>
    </row>
    <row r="3" spans="2:25" ht="15.75" thickTop="1" x14ac:dyDescent="0.25"/>
    <row r="4" spans="2:25" x14ac:dyDescent="0.25">
      <c r="B4" s="182" t="s">
        <v>348</v>
      </c>
      <c r="E4" s="92" t="s">
        <v>349</v>
      </c>
      <c r="L4" s="92" t="s">
        <v>350</v>
      </c>
      <c r="V4" s="92" t="s">
        <v>176</v>
      </c>
      <c r="W4" s="92" t="s">
        <v>351</v>
      </c>
    </row>
    <row r="5" spans="2:25" x14ac:dyDescent="0.25">
      <c r="B5" s="92" t="s">
        <v>352</v>
      </c>
      <c r="C5" s="92" t="s">
        <v>353</v>
      </c>
      <c r="D5" s="183">
        <f>[3]SimonStadt!E46</f>
        <v>1000</v>
      </c>
      <c r="E5" s="184"/>
      <c r="N5" s="92" t="s">
        <v>351</v>
      </c>
      <c r="R5" s="92" t="s">
        <v>176</v>
      </c>
      <c r="V5" s="185">
        <f>[3]Way2smartKenndatenFlächen!K6</f>
        <v>9460000</v>
      </c>
      <c r="W5" s="186">
        <f>[3]Way2smartKenndatenFlächen!S6</f>
        <v>20403.335767750003</v>
      </c>
    </row>
    <row r="6" spans="2:25" x14ac:dyDescent="0.25">
      <c r="B6" s="92" t="s">
        <v>354</v>
      </c>
      <c r="C6" s="92" t="s">
        <v>355</v>
      </c>
      <c r="D6" s="187">
        <f>[3]SimonStadt!E48</f>
        <v>6.5</v>
      </c>
      <c r="E6" s="188">
        <v>5.5</v>
      </c>
      <c r="R6" s="189" t="s">
        <v>356</v>
      </c>
      <c r="S6" s="189" t="s">
        <v>357</v>
      </c>
      <c r="U6" s="190" t="str">
        <f>[3]Way2smartKenndatenFlächen!B12</f>
        <v>Fläche gesamt</v>
      </c>
      <c r="V6" s="191">
        <f>[3]Way2smartKenndatenFlächen!C12</f>
        <v>83882000000</v>
      </c>
      <c r="W6" s="191">
        <f>[3]Way2smartKenndatenFlächen!D12</f>
        <v>9772290.5432699975</v>
      </c>
      <c r="X6" s="192">
        <f>W6/V6</f>
        <v>1.1650044757242313E-4</v>
      </c>
    </row>
    <row r="7" spans="2:25" x14ac:dyDescent="0.25">
      <c r="B7" s="92" t="s">
        <v>358</v>
      </c>
      <c r="C7" s="92" t="s">
        <v>359</v>
      </c>
      <c r="D7" s="193">
        <f>1/[3]TabellenEE!D211/0.9</f>
        <v>1.8518518518518519</v>
      </c>
      <c r="F7" s="92" t="s">
        <v>360</v>
      </c>
      <c r="T7" s="190" t="str">
        <f>[3]Way2smartKenndatenFlächen!B16</f>
        <v>bebaubare Fläche</v>
      </c>
      <c r="U7" s="190" t="str">
        <f>[3]Way2smartKenndatenFlächen!B13</f>
        <v>Bauland</v>
      </c>
      <c r="V7" s="191">
        <f>[3]Way2smartKenndatenFlächen!C13</f>
        <v>2383200000</v>
      </c>
      <c r="W7" s="191">
        <f>[3]Way2smartKenndatenFlächen!D13</f>
        <v>3864818.1810719986</v>
      </c>
      <c r="X7" s="194">
        <f t="shared" ref="X7:X8" si="0">W7/V7</f>
        <v>1.6216927580866057E-3</v>
      </c>
    </row>
    <row r="8" spans="2:25" x14ac:dyDescent="0.25">
      <c r="B8" s="92" t="s">
        <v>361</v>
      </c>
      <c r="C8" s="92" t="s">
        <v>362</v>
      </c>
      <c r="E8">
        <v>0.9</v>
      </c>
      <c r="T8" s="190" t="str">
        <f>[3]Way2smartKenndatenFlächen!B17</f>
        <v>Landwirtschaftlich genutzte Fläche</v>
      </c>
      <c r="U8" s="190" t="str">
        <f>[3]Way2smartKenndatenFlächen!B14</f>
        <v>bebaute Fläche</v>
      </c>
      <c r="V8" s="191">
        <f>[3]Way2smartKenndatenFlächen!C14</f>
        <v>769300000</v>
      </c>
      <c r="W8" s="191">
        <f>[3]Way2smartKenndatenFlächen!D14</f>
        <v>830171.24385714298</v>
      </c>
      <c r="X8" s="195">
        <f t="shared" si="0"/>
        <v>1.079125495719671E-3</v>
      </c>
    </row>
    <row r="9" spans="2:25" ht="195" x14ac:dyDescent="0.25">
      <c r="B9" s="196" t="s">
        <v>363</v>
      </c>
      <c r="C9" s="197" t="s">
        <v>364</v>
      </c>
      <c r="D9" s="198" t="str">
        <f>L56</f>
        <v>Variante Streicher 2050 Wachstum inkl. UBA 2017 Mobi, Anpassung an EVN 2017, Energiekataster 2008, FH Studie 2013</v>
      </c>
      <c r="E9" s="199" t="e">
        <f>KO_EEneu4neu!Q52</f>
        <v>#DIV/0!</v>
      </c>
      <c r="F9" s="199" t="str">
        <f>V55</f>
        <v>"Pierre Aug.2018" inkl. tiefe Geothermie</v>
      </c>
      <c r="G9" s="199">
        <f>KO_EEneu4neu!AA52</f>
        <v>0</v>
      </c>
      <c r="L9" s="200" t="s">
        <v>365</v>
      </c>
      <c r="M9" s="201"/>
      <c r="N9" s="202" t="s">
        <v>356</v>
      </c>
      <c r="O9" s="203" t="s">
        <v>357</v>
      </c>
      <c r="P9" s="203" t="s">
        <v>366</v>
      </c>
      <c r="U9" s="190">
        <f>[3]Way2smartKenndatenFlächen!B15</f>
        <v>0</v>
      </c>
      <c r="V9" s="191">
        <f>[3]Way2smartKenndatenFlächen!C15</f>
        <v>0.32280127559583754</v>
      </c>
      <c r="W9" s="191">
        <f>[3]Way2smartKenndatenFlächen!D15</f>
        <v>0.21480214720654087</v>
      </c>
      <c r="X9" s="192">
        <f>W9/V9</f>
        <v>0.66543153155157697</v>
      </c>
    </row>
    <row r="10" spans="2:25" x14ac:dyDescent="0.25">
      <c r="B10" s="197" t="s">
        <v>367</v>
      </c>
      <c r="C10" s="197" t="s">
        <v>368</v>
      </c>
      <c r="D10" s="204">
        <f>KO_EEneu4neu!P90</f>
        <v>34012.030055534669</v>
      </c>
      <c r="E10" s="204">
        <f>KO_EEneu4neu!U90</f>
        <v>34012.030055534669</v>
      </c>
      <c r="F10" s="204">
        <f>Z93</f>
        <v>49549.287337943351</v>
      </c>
      <c r="G10" s="204">
        <f>KO_EEneu4neu!AD90</f>
        <v>34012.030055534669</v>
      </c>
      <c r="L10" s="137"/>
      <c r="M10" s="201" t="s">
        <v>369</v>
      </c>
      <c r="N10" s="202" t="s">
        <v>370</v>
      </c>
      <c r="O10" s="202" t="s">
        <v>370</v>
      </c>
      <c r="P10" s="202"/>
      <c r="V10" s="191">
        <f>[3]Way2smartKenndatenFlächen!C16</f>
        <v>0.21480214595794678</v>
      </c>
      <c r="W10" s="191">
        <f>[3]Way2smartKenndatenFlächen!D16</f>
        <v>7046253.7566462075</v>
      </c>
      <c r="X10" s="192">
        <f>W10/V10</f>
        <v>32803460.716010254</v>
      </c>
    </row>
    <row r="11" spans="2:25" x14ac:dyDescent="0.25">
      <c r="B11" s="197" t="s">
        <v>371</v>
      </c>
      <c r="C11" s="197" t="s">
        <v>368</v>
      </c>
      <c r="D11" s="204">
        <f>KO_EEneu4neu!P91</f>
        <v>36470.835090371547</v>
      </c>
      <c r="E11" s="204">
        <f>KO_EEneu4neu!U91</f>
        <v>13462.697111627502</v>
      </c>
      <c r="F11" s="204">
        <f>Z94</f>
        <v>6731.3485558137509</v>
      </c>
      <c r="G11" s="204">
        <f>KO_EEneu4neu!AD91</f>
        <v>41029.689476667991</v>
      </c>
      <c r="L11" s="205" t="s">
        <v>372</v>
      </c>
      <c r="M11" s="194">
        <f>M12</f>
        <v>2.1568008211152222E-3</v>
      </c>
      <c r="N11" s="206">
        <f>N14</f>
        <v>3887212.196883</v>
      </c>
      <c r="O11" s="206">
        <f>O13</f>
        <v>913188.3682428574</v>
      </c>
      <c r="P11" s="206">
        <f>P13</f>
        <v>3331030.0152579998</v>
      </c>
      <c r="Q11" s="92" t="s">
        <v>373</v>
      </c>
      <c r="V11" s="191">
        <f>[3]Way2smartKenndatenFlächen!C17</f>
        <v>2114500000</v>
      </c>
      <c r="W11" s="191">
        <f>[3]Way2smartKenndatenFlächen!D17</f>
        <v>3292955.7401469992</v>
      </c>
      <c r="X11" s="192">
        <f>W11/V11</f>
        <v>1.5573212296746272E-3</v>
      </c>
    </row>
    <row r="12" spans="2:25" x14ac:dyDescent="0.25">
      <c r="B12" s="197" t="s">
        <v>374</v>
      </c>
      <c r="C12" s="197" t="s">
        <v>368</v>
      </c>
      <c r="D12" s="204">
        <f>KO_EEneu4neu!P92</f>
        <v>18235.417545185774</v>
      </c>
      <c r="E12" s="204">
        <f>KO_EEneu4neu!U92</f>
        <v>6731.3485558137509</v>
      </c>
      <c r="F12" s="204">
        <f>Z95</f>
        <v>56280.635893757106</v>
      </c>
      <c r="G12" s="204">
        <f>KO_EEneu4neu!AD92</f>
        <v>13676.56315888933</v>
      </c>
      <c r="L12" s="137">
        <v>2050</v>
      </c>
      <c r="M12" s="192">
        <f>[3]Way2smartKenndatenFlächen!O6</f>
        <v>2.1568008211152222E-3</v>
      </c>
      <c r="N12" s="191">
        <f>N13</f>
        <v>3887212.196883</v>
      </c>
      <c r="O12" s="191">
        <f>O13</f>
        <v>913188.3682428574</v>
      </c>
      <c r="P12" s="191">
        <f>P13</f>
        <v>3331030.0152579998</v>
      </c>
      <c r="U12" s="92" t="s">
        <v>375</v>
      </c>
      <c r="W12" s="185">
        <f>[3]SimonStadt!U57</f>
        <v>1684324.9400000002</v>
      </c>
    </row>
    <row r="13" spans="2:25" x14ac:dyDescent="0.25">
      <c r="B13" s="197" t="s">
        <v>80</v>
      </c>
      <c r="C13" s="197" t="s">
        <v>368</v>
      </c>
      <c r="D13" s="204">
        <f>KO_EEneu4neu!P93</f>
        <v>54048.240643868303</v>
      </c>
      <c r="E13" s="204">
        <f>KO_EEneu4neu!U93</f>
        <v>45203.40634299341</v>
      </c>
      <c r="F13" s="204">
        <f>Z96</f>
        <v>47474.727167162171</v>
      </c>
      <c r="G13" s="204">
        <f>KO_EEneu4neu!AD93</f>
        <v>54048.240643868303</v>
      </c>
      <c r="L13" s="137">
        <v>2036</v>
      </c>
      <c r="M13" s="192">
        <f>[3]Way2smartKenndatenFlächen!O7</f>
        <v>1.9783633000418754E-3</v>
      </c>
      <c r="N13" s="191">
        <f>N14</f>
        <v>3887212.196883</v>
      </c>
      <c r="O13" s="191">
        <f>O14*1.1</f>
        <v>913188.3682428574</v>
      </c>
      <c r="P13" s="191">
        <f>P14*1.1</f>
        <v>3331030.0152579998</v>
      </c>
      <c r="U13" s="92" t="s">
        <v>376</v>
      </c>
      <c r="W13" s="185">
        <f>[3]SimonStadt!V57</f>
        <v>1347459.9519999982</v>
      </c>
    </row>
    <row r="14" spans="2:25" x14ac:dyDescent="0.25">
      <c r="B14" s="197" t="s">
        <v>377</v>
      </c>
      <c r="C14" s="197" t="s">
        <v>368</v>
      </c>
      <c r="D14" s="204">
        <f>D312</f>
        <v>8348.2347377202332</v>
      </c>
      <c r="E14" s="204">
        <f>G14</f>
        <v>8348.2347377202332</v>
      </c>
      <c r="F14" s="204">
        <f>D312</f>
        <v>8348.2347377202332</v>
      </c>
      <c r="G14" s="204">
        <f>D312</f>
        <v>8348.2347377202332</v>
      </c>
      <c r="L14" s="137">
        <v>2017</v>
      </c>
      <c r="M14" s="192">
        <f>[3]Way2smartKenndatenFlächen!O8</f>
        <v>1.7122207246889195E-3</v>
      </c>
      <c r="N14" s="207">
        <f>[3]Way2smartKenndatenFlächen!P22</f>
        <v>3887212.196883</v>
      </c>
      <c r="O14" s="207">
        <f>[3]SimonStadt!P57</f>
        <v>830171.24385714298</v>
      </c>
      <c r="P14" s="207">
        <f>[3]Way2smartKenndatenFlächen!N22</f>
        <v>3028209.1047799997</v>
      </c>
      <c r="U14" s="92" t="s">
        <v>378</v>
      </c>
      <c r="W14" s="185">
        <f>W13*0.85</f>
        <v>1145340.9591999985</v>
      </c>
    </row>
    <row r="15" spans="2:25" x14ac:dyDescent="0.25">
      <c r="B15" s="197" t="s">
        <v>379</v>
      </c>
      <c r="C15" s="197" t="s">
        <v>368</v>
      </c>
      <c r="D15" s="204">
        <v>0</v>
      </c>
      <c r="E15" s="204">
        <f>(U59+U60)*$D$7</f>
        <v>8469.957619399087</v>
      </c>
      <c r="F15" s="204">
        <f>(Z59+Z60)*$D$7</f>
        <v>8469.957619399087</v>
      </c>
      <c r="G15" s="204">
        <v>0</v>
      </c>
      <c r="L15" s="137">
        <v>2008</v>
      </c>
      <c r="M15" s="192">
        <f>[3]Way2smartKenndatenFlächen!O9</f>
        <v>1.575268255129076E-3</v>
      </c>
      <c r="N15" s="137"/>
      <c r="O15" s="137"/>
      <c r="P15" s="137"/>
      <c r="U15" s="92" t="s">
        <v>380</v>
      </c>
      <c r="W15" s="185">
        <f>[3]SimonStadt!U56</f>
        <v>839902.89000000013</v>
      </c>
    </row>
    <row r="16" spans="2:25" x14ac:dyDescent="0.25">
      <c r="D16" s="208">
        <f>D14+D12</f>
        <v>26583.652282906005</v>
      </c>
      <c r="E16" s="208">
        <f>E14+E12</f>
        <v>15079.583293533984</v>
      </c>
      <c r="F16" s="208">
        <f>F14+F12</f>
        <v>64628.870631477337</v>
      </c>
      <c r="G16" s="208">
        <f t="shared" ref="G16" si="1">G14+G12</f>
        <v>22024.797896609562</v>
      </c>
      <c r="U16" s="92" t="s">
        <v>381</v>
      </c>
      <c r="W16" s="185">
        <f>[3]SimonStadt!V56</f>
        <v>671922.31199999817</v>
      </c>
      <c r="Y16" s="92" t="s">
        <v>382</v>
      </c>
    </row>
    <row r="17" spans="1:31" x14ac:dyDescent="0.25">
      <c r="B17" s="197" t="s">
        <v>383</v>
      </c>
      <c r="C17" s="197" t="s">
        <v>368</v>
      </c>
      <c r="D17" s="204">
        <f>D16/0.88</f>
        <v>30208.695776029552</v>
      </c>
      <c r="E17" s="204">
        <f t="shared" ref="E17:G17" si="2">E16*1.1</f>
        <v>16587.541622887384</v>
      </c>
      <c r="F17" s="204">
        <f t="shared" si="2"/>
        <v>71091.757694625077</v>
      </c>
      <c r="G17" s="204">
        <f t="shared" si="2"/>
        <v>24227.277686270521</v>
      </c>
      <c r="H17" s="92" t="s">
        <v>384</v>
      </c>
      <c r="U17" s="92" t="s">
        <v>385</v>
      </c>
      <c r="W17" s="185">
        <f>W16*0.85</f>
        <v>571133.96519999846</v>
      </c>
    </row>
    <row r="18" spans="1:31" x14ac:dyDescent="0.25">
      <c r="C18" s="209" t="s">
        <v>386</v>
      </c>
      <c r="D18" s="210">
        <f>D$17*1000/$W$12/E8</f>
        <v>19.927994136880574</v>
      </c>
      <c r="E18" s="211">
        <f>E$17*1000/$W$12</f>
        <v>9.8481838206868701</v>
      </c>
      <c r="F18" s="211">
        <f>F$17*1000/$W$12</f>
        <v>42.207863819094833</v>
      </c>
      <c r="G18" s="211">
        <f>G$17*1000/$W$12</f>
        <v>14.383968978260523</v>
      </c>
      <c r="H18" s="92" t="s">
        <v>387</v>
      </c>
      <c r="U18" s="92" t="s">
        <v>375</v>
      </c>
      <c r="W18">
        <f t="shared" ref="W18:W23" si="3">W12/W$5</f>
        <v>82.55144938908883</v>
      </c>
    </row>
    <row r="19" spans="1:31" x14ac:dyDescent="0.25">
      <c r="C19" s="209" t="s">
        <v>388</v>
      </c>
      <c r="D19" s="210">
        <f>D$17*1000/$W$13/E8</f>
        <v>24.909992671100749</v>
      </c>
      <c r="E19" s="211">
        <f>E$17*1000/$W$13</f>
        <v>12.310229775858605</v>
      </c>
      <c r="F19" s="211">
        <f>F$17*1000/$W$13</f>
        <v>52.759829773868617</v>
      </c>
      <c r="G19" s="211">
        <f>G$17*1000/$W$13</f>
        <v>17.979961222825679</v>
      </c>
      <c r="U19" s="92" t="s">
        <v>376</v>
      </c>
      <c r="W19">
        <f t="shared" si="3"/>
        <v>66.041159511270962</v>
      </c>
    </row>
    <row r="20" spans="1:31" x14ac:dyDescent="0.25">
      <c r="C20" s="209" t="s">
        <v>389</v>
      </c>
      <c r="D20" s="210">
        <f>D$17*1000/$W$14/E8</f>
        <v>29.305873730706764</v>
      </c>
      <c r="E20" s="211">
        <f>E$17*1000/$W$14</f>
        <v>14.482623265716004</v>
      </c>
      <c r="F20" s="211">
        <f>F$17*1000/$W$14</f>
        <v>62.07038796925719</v>
      </c>
      <c r="G20" s="211">
        <f>G$17*1000/$W$14</f>
        <v>21.152895556265506</v>
      </c>
      <c r="W20">
        <f t="shared" si="3"/>
        <v>56.134985584580328</v>
      </c>
    </row>
    <row r="21" spans="1:31" x14ac:dyDescent="0.25">
      <c r="A21" s="92"/>
      <c r="C21" s="209" t="s">
        <v>390</v>
      </c>
      <c r="D21" s="208">
        <f>D17*1000/$W$5</f>
        <v>1480.57631947508</v>
      </c>
      <c r="E21" s="208">
        <f>E17*1000/$W$5</f>
        <v>812.98184824787552</v>
      </c>
      <c r="F21" s="208">
        <f>F17*1000/$W$5</f>
        <v>3484.3203338835606</v>
      </c>
      <c r="G21" s="208">
        <f>G17*1000/$W$5</f>
        <v>1187.4174871230973</v>
      </c>
      <c r="U21" s="92" t="s">
        <v>380</v>
      </c>
      <c r="W21">
        <f t="shared" si="3"/>
        <v>41.16497907795894</v>
      </c>
    </row>
    <row r="22" spans="1:31" x14ac:dyDescent="0.25">
      <c r="B22" s="196" t="s">
        <v>391</v>
      </c>
      <c r="C22" s="196" t="s">
        <v>392</v>
      </c>
      <c r="D22" s="210" t="e">
        <f>D17*1000/KO_EEneu4neu!$N$8/E8</f>
        <v>#DIV/0!</v>
      </c>
      <c r="E22" s="211" t="e">
        <f>E17*1000/KO_EEneu4neu!$N$8</f>
        <v>#DIV/0!</v>
      </c>
      <c r="F22" s="211" t="e">
        <f>F17*1000/KO_EEneu4neu!$N$8</f>
        <v>#DIV/0!</v>
      </c>
      <c r="G22" s="211" t="e">
        <f>G17*1000/KO_EEneu4neu!$N$8</f>
        <v>#DIV/0!</v>
      </c>
      <c r="U22" s="92" t="s">
        <v>381</v>
      </c>
      <c r="W22">
        <f t="shared" si="3"/>
        <v>32.931983262367055</v>
      </c>
    </row>
    <row r="23" spans="1:31" x14ac:dyDescent="0.25">
      <c r="B23" s="182" t="s">
        <v>393</v>
      </c>
      <c r="C23" s="196" t="s">
        <v>394</v>
      </c>
      <c r="D23" s="210" t="e">
        <f>D17*1000/KO_EEneu4neu!$P$8/E8</f>
        <v>#DIV/0!</v>
      </c>
      <c r="W23">
        <f t="shared" si="3"/>
        <v>27.992185773012</v>
      </c>
    </row>
    <row r="24" spans="1:31" x14ac:dyDescent="0.25">
      <c r="B24" s="196" t="s">
        <v>395</v>
      </c>
      <c r="C24" s="196" t="s">
        <v>396</v>
      </c>
      <c r="D24" s="210" t="e">
        <f>D17*1000/KO_EEneu4neu!$O$8/E8</f>
        <v>#DIV/0!</v>
      </c>
      <c r="E24" s="211" t="e">
        <f>E17*1000/KO_EEneu4neu!$O$8</f>
        <v>#DIV/0!</v>
      </c>
      <c r="F24" s="211" t="e">
        <f>F17*1000/KO_EEneu4neu!$O$8</f>
        <v>#DIV/0!</v>
      </c>
      <c r="G24" s="211" t="e">
        <f>G17*1000/KO_EEneu4neu!$O$8</f>
        <v>#DIV/0!</v>
      </c>
    </row>
    <row r="25" spans="1:31" x14ac:dyDescent="0.25">
      <c r="B25" s="197" t="s">
        <v>397</v>
      </c>
      <c r="C25" s="197" t="s">
        <v>398</v>
      </c>
      <c r="D25" s="204">
        <f>D17/$D$5*1000</f>
        <v>30208.695776029552</v>
      </c>
      <c r="E25" s="204">
        <f>E17/$D$5*1000</f>
        <v>16587.541622887384</v>
      </c>
      <c r="F25" s="204">
        <f>F17/$D$5*1000</f>
        <v>71091.757694625077</v>
      </c>
      <c r="G25" s="204">
        <f>G17/$D$5*1000</f>
        <v>24227.277686270521</v>
      </c>
    </row>
    <row r="26" spans="1:31" x14ac:dyDescent="0.25">
      <c r="B26" s="92" t="s">
        <v>399</v>
      </c>
      <c r="C26" s="209" t="s">
        <v>400</v>
      </c>
      <c r="D26" s="212">
        <f>D25/$W$5</f>
        <v>1.4805763194750798</v>
      </c>
      <c r="E26" s="212">
        <f>E25/$W$5</f>
        <v>0.81298184824787556</v>
      </c>
      <c r="F26" s="212">
        <f>F25/$W$5</f>
        <v>3.4843203338835602</v>
      </c>
      <c r="G26" s="212">
        <f>G25/$W$5</f>
        <v>1.1874174871230974</v>
      </c>
    </row>
    <row r="27" spans="1:31" x14ac:dyDescent="0.25">
      <c r="B27" s="92" t="s">
        <v>401</v>
      </c>
      <c r="C27" s="209" t="s">
        <v>402</v>
      </c>
      <c r="D27" s="212">
        <f>D25/$W$12*100/E8</f>
        <v>1.9927994136880569</v>
      </c>
      <c r="E27" s="212">
        <f>E25/$W$12*100</f>
        <v>0.98481838206868688</v>
      </c>
      <c r="F27" s="212">
        <f>F25/$W$12*100</f>
        <v>4.2207863819094831</v>
      </c>
      <c r="G27" s="212">
        <f>G25/$W$12*100</f>
        <v>1.4383968978260526</v>
      </c>
    </row>
    <row r="28" spans="1:31" x14ac:dyDescent="0.25">
      <c r="B28" s="197" t="s">
        <v>403</v>
      </c>
      <c r="C28" s="197" t="s">
        <v>370</v>
      </c>
      <c r="D28" s="204">
        <f>D25*$D$6</f>
        <v>196356.52254419209</v>
      </c>
      <c r="E28" s="204">
        <f>E25*$D$6</f>
        <v>107819.02054876799</v>
      </c>
      <c r="F28" s="204">
        <f>F25*$D$6</f>
        <v>462096.42501506303</v>
      </c>
      <c r="G28" s="204">
        <f>G25*$D$6</f>
        <v>157477.3049607584</v>
      </c>
    </row>
    <row r="29" spans="1:31" x14ac:dyDescent="0.25">
      <c r="B29" s="197" t="s">
        <v>404</v>
      </c>
      <c r="C29" s="197" t="s">
        <v>405</v>
      </c>
      <c r="D29" s="212" t="e">
        <f>D28/KO_EEneu4neu!$O$8/E8</f>
        <v>#DIV/0!</v>
      </c>
      <c r="E29" s="212" t="e">
        <f>E28/KO_EEneu4neu!$O$8</f>
        <v>#DIV/0!</v>
      </c>
      <c r="F29" s="212" t="e">
        <f>F28/KO_EEneu4neu!$O$8</f>
        <v>#DIV/0!</v>
      </c>
      <c r="G29" s="212" t="e">
        <f>G28/KO_EEneu4neu!$O$8</f>
        <v>#DIV/0!</v>
      </c>
    </row>
    <row r="30" spans="1:31" x14ac:dyDescent="0.25">
      <c r="B30" s="197"/>
      <c r="C30" s="197"/>
      <c r="D30" s="211"/>
      <c r="E30" s="211"/>
      <c r="F30" s="211"/>
      <c r="G30" s="211"/>
    </row>
    <row r="31" spans="1:31" ht="150" x14ac:dyDescent="0.25">
      <c r="B31" s="213" t="s">
        <v>406</v>
      </c>
      <c r="C31" s="137"/>
      <c r="D31" s="214" t="s">
        <v>407</v>
      </c>
      <c r="E31" s="215" t="s">
        <v>408</v>
      </c>
      <c r="F31" s="215" t="s">
        <v>409</v>
      </c>
      <c r="G31" s="215" t="s">
        <v>410</v>
      </c>
      <c r="H31" s="215" t="s">
        <v>411</v>
      </c>
      <c r="I31" s="215" t="s">
        <v>412</v>
      </c>
      <c r="J31" s="215" t="s">
        <v>413</v>
      </c>
      <c r="K31" s="215" t="s">
        <v>414</v>
      </c>
      <c r="L31" s="215" t="s">
        <v>415</v>
      </c>
      <c r="M31" s="216" t="s">
        <v>416</v>
      </c>
      <c r="N31" s="217"/>
      <c r="O31" s="218" t="s">
        <v>407</v>
      </c>
      <c r="P31" s="218" t="s">
        <v>417</v>
      </c>
      <c r="Q31" s="217" t="s">
        <v>417</v>
      </c>
      <c r="R31" s="217" t="s">
        <v>417</v>
      </c>
      <c r="S31" s="217" t="s">
        <v>417</v>
      </c>
      <c r="T31" s="218" t="s">
        <v>418</v>
      </c>
      <c r="U31" s="217" t="s">
        <v>418</v>
      </c>
      <c r="V31" s="217" t="s">
        <v>418</v>
      </c>
      <c r="W31" s="217" t="s">
        <v>418</v>
      </c>
      <c r="X31" s="217" t="s">
        <v>419</v>
      </c>
      <c r="Y31" s="217" t="s">
        <v>420</v>
      </c>
      <c r="Z31" s="217" t="s">
        <v>421</v>
      </c>
      <c r="AE31" s="217" t="s">
        <v>422</v>
      </c>
    </row>
    <row r="32" spans="1:31" x14ac:dyDescent="0.25">
      <c r="M32" s="137"/>
      <c r="N32" s="202" t="s">
        <v>423</v>
      </c>
      <c r="O32" s="137"/>
      <c r="P32" s="137" t="s">
        <v>424</v>
      </c>
      <c r="Q32" s="137" t="s">
        <v>425</v>
      </c>
      <c r="R32" s="137" t="s">
        <v>426</v>
      </c>
      <c r="S32" s="137" t="s">
        <v>427</v>
      </c>
      <c r="T32" s="137" t="s">
        <v>424</v>
      </c>
      <c r="U32" s="137" t="s">
        <v>425</v>
      </c>
      <c r="V32" s="137" t="s">
        <v>426</v>
      </c>
      <c r="W32" s="137" t="s">
        <v>427</v>
      </c>
      <c r="Z32" s="92" t="s">
        <v>428</v>
      </c>
      <c r="AA32" s="92" t="s">
        <v>429</v>
      </c>
      <c r="AB32" s="92" t="s">
        <v>430</v>
      </c>
      <c r="AC32" s="92" t="s">
        <v>431</v>
      </c>
      <c r="AD32" s="92" t="s">
        <v>432</v>
      </c>
      <c r="AE32" s="219">
        <v>43586</v>
      </c>
    </row>
    <row r="33" spans="1:25" x14ac:dyDescent="0.25">
      <c r="B33" s="197" t="s">
        <v>433</v>
      </c>
      <c r="C33" s="220" t="s">
        <v>370</v>
      </c>
      <c r="D33" s="221"/>
      <c r="E33" s="221">
        <f t="shared" ref="E33:G34" si="4">F33</f>
        <v>2589</v>
      </c>
      <c r="F33" s="221">
        <f t="shared" si="4"/>
        <v>2589</v>
      </c>
      <c r="G33" s="221">
        <f t="shared" si="4"/>
        <v>2589</v>
      </c>
      <c r="H33" s="221">
        <v>2589</v>
      </c>
      <c r="I33" s="221">
        <f>H33</f>
        <v>2589</v>
      </c>
      <c r="J33" s="221">
        <v>1053</v>
      </c>
      <c r="K33" s="221">
        <v>1053</v>
      </c>
      <c r="L33" s="221">
        <f>K33</f>
        <v>1053</v>
      </c>
      <c r="M33" s="197" t="s">
        <v>433</v>
      </c>
      <c r="N33" s="220" t="s">
        <v>370</v>
      </c>
      <c r="O33" s="222"/>
      <c r="P33" s="222">
        <v>11660</v>
      </c>
      <c r="Q33" s="222">
        <v>11660</v>
      </c>
      <c r="R33" s="222">
        <v>11660</v>
      </c>
      <c r="S33" s="222">
        <v>11660</v>
      </c>
      <c r="T33" s="222">
        <v>15940</v>
      </c>
      <c r="U33" s="222">
        <v>15940</v>
      </c>
      <c r="V33" s="222">
        <v>15940</v>
      </c>
      <c r="W33" s="222">
        <v>15940</v>
      </c>
      <c r="X33" s="126"/>
      <c r="Y33" s="126"/>
    </row>
    <row r="34" spans="1:25" x14ac:dyDescent="0.25">
      <c r="B34" s="197" t="s">
        <v>357</v>
      </c>
      <c r="C34" s="220" t="s">
        <v>370</v>
      </c>
      <c r="D34" s="221"/>
      <c r="E34" s="221">
        <f t="shared" si="4"/>
        <v>1035</v>
      </c>
      <c r="F34" s="221">
        <f t="shared" si="4"/>
        <v>1035</v>
      </c>
      <c r="G34" s="221">
        <f t="shared" si="4"/>
        <v>1035</v>
      </c>
      <c r="H34" s="221">
        <v>1035</v>
      </c>
      <c r="I34" s="221">
        <f>H34</f>
        <v>1035</v>
      </c>
      <c r="J34" s="221">
        <v>211.18600000000004</v>
      </c>
      <c r="K34" s="221">
        <v>211.18600000000004</v>
      </c>
      <c r="L34" s="221">
        <f>K34</f>
        <v>211.18600000000004</v>
      </c>
      <c r="M34" s="197" t="s">
        <v>357</v>
      </c>
      <c r="N34" s="220" t="s">
        <v>370</v>
      </c>
      <c r="O34" s="223"/>
      <c r="P34" s="223">
        <v>6448.7</v>
      </c>
      <c r="Q34" s="223">
        <v>6448.7</v>
      </c>
      <c r="R34" s="223">
        <v>6448.7</v>
      </c>
      <c r="S34" s="223">
        <v>6448.7</v>
      </c>
      <c r="T34" s="223">
        <v>9028</v>
      </c>
      <c r="U34" s="223">
        <v>9028</v>
      </c>
      <c r="V34" s="223">
        <v>9028</v>
      </c>
      <c r="W34" s="223">
        <v>9028</v>
      </c>
      <c r="X34" s="221"/>
      <c r="Y34" s="221"/>
    </row>
    <row r="35" spans="1:25" x14ac:dyDescent="0.25">
      <c r="B35" s="197" t="s">
        <v>434</v>
      </c>
      <c r="C35" s="220" t="s">
        <v>370</v>
      </c>
      <c r="D35" s="224"/>
      <c r="E35" s="224">
        <v>4646.3500000000004</v>
      </c>
      <c r="F35" s="224">
        <f>E35</f>
        <v>4646.3500000000004</v>
      </c>
      <c r="G35" s="225">
        <f>F35*3/4</f>
        <v>3484.7625000000003</v>
      </c>
      <c r="H35" s="224">
        <v>2451.19</v>
      </c>
      <c r="I35" s="224">
        <v>2473.81</v>
      </c>
      <c r="J35" s="224">
        <f>J34*2</f>
        <v>422.37200000000007</v>
      </c>
      <c r="K35" s="224">
        <f>K34*2.6</f>
        <v>549.08360000000016</v>
      </c>
      <c r="L35" s="224">
        <f>L34*2.6+L34*0.8</f>
        <v>718.03240000000017</v>
      </c>
      <c r="M35" s="197" t="s">
        <v>434</v>
      </c>
      <c r="N35" s="220" t="s">
        <v>370</v>
      </c>
      <c r="O35" s="223"/>
      <c r="P35" s="223">
        <v>63900</v>
      </c>
      <c r="Q35" s="223">
        <v>63901</v>
      </c>
      <c r="R35" s="223">
        <v>63902</v>
      </c>
      <c r="S35" s="223">
        <v>63903</v>
      </c>
      <c r="T35" s="223">
        <v>50100</v>
      </c>
      <c r="U35" s="223">
        <v>50101</v>
      </c>
      <c r="V35" s="223">
        <v>50102</v>
      </c>
      <c r="W35" s="223">
        <v>50103</v>
      </c>
      <c r="X35" s="224"/>
      <c r="Y35" s="224"/>
    </row>
    <row r="36" spans="1:25" x14ac:dyDescent="0.25">
      <c r="B36" s="209" t="s">
        <v>435</v>
      </c>
      <c r="D36" s="224"/>
      <c r="E36" s="224">
        <f>E35*0.8</f>
        <v>3717.0800000000004</v>
      </c>
      <c r="F36" s="224">
        <f t="shared" ref="F36:F37" si="5">E36</f>
        <v>3717.0800000000004</v>
      </c>
      <c r="G36" s="224">
        <f t="shared" ref="G36:L36" si="6">G35*0.8</f>
        <v>2787.8100000000004</v>
      </c>
      <c r="H36" s="224">
        <f t="shared" si="6"/>
        <v>1960.9520000000002</v>
      </c>
      <c r="I36" s="224">
        <f t="shared" si="6"/>
        <v>1979.048</v>
      </c>
      <c r="J36" s="224">
        <f t="shared" si="6"/>
        <v>337.89760000000007</v>
      </c>
      <c r="K36" s="224">
        <f t="shared" si="6"/>
        <v>439.26688000000013</v>
      </c>
      <c r="L36" s="224">
        <f t="shared" si="6"/>
        <v>574.42592000000013</v>
      </c>
      <c r="M36" s="209" t="s">
        <v>435</v>
      </c>
      <c r="O36" s="223"/>
      <c r="P36" s="223">
        <v>51120</v>
      </c>
      <c r="Q36" s="223">
        <v>51120.800000000003</v>
      </c>
      <c r="R36" s="223">
        <v>51121.600000000006</v>
      </c>
      <c r="S36" s="223">
        <v>51122.400000000001</v>
      </c>
      <c r="T36" s="223">
        <v>40080</v>
      </c>
      <c r="U36" s="223">
        <v>40080.800000000003</v>
      </c>
      <c r="V36" s="223">
        <v>40081.600000000006</v>
      </c>
      <c r="W36" s="223">
        <v>40082.400000000001</v>
      </c>
      <c r="X36" s="224"/>
      <c r="Y36" s="224"/>
    </row>
    <row r="37" spans="1:25" x14ac:dyDescent="0.25">
      <c r="B37" s="197" t="s">
        <v>436</v>
      </c>
      <c r="C37" s="220" t="s">
        <v>370</v>
      </c>
      <c r="D37" s="224"/>
      <c r="E37" s="224">
        <v>2882.9799999999996</v>
      </c>
      <c r="F37" s="224">
        <f t="shared" si="5"/>
        <v>2882.9799999999996</v>
      </c>
      <c r="G37" s="224">
        <v>2232.5100000000002</v>
      </c>
      <c r="H37" s="224">
        <v>1842.2199999999998</v>
      </c>
      <c r="I37" s="224">
        <v>1787.8600000000001</v>
      </c>
      <c r="J37" s="224">
        <v>314</v>
      </c>
      <c r="K37" s="224">
        <f>K35/J35*J37</f>
        <v>408.2000000000001</v>
      </c>
      <c r="L37" s="224">
        <f>L35/K35*K37</f>
        <v>533.80000000000018</v>
      </c>
      <c r="M37" s="197" t="s">
        <v>436</v>
      </c>
      <c r="N37" s="220" t="s">
        <v>370</v>
      </c>
      <c r="O37" s="223"/>
      <c r="P37" s="223">
        <v>43452</v>
      </c>
      <c r="Q37" s="223">
        <v>43452.68</v>
      </c>
      <c r="R37" s="223">
        <v>43453.36</v>
      </c>
      <c r="S37" s="223">
        <v>43454.04</v>
      </c>
      <c r="T37" s="223">
        <v>34068</v>
      </c>
      <c r="U37" s="223">
        <v>34068.68</v>
      </c>
      <c r="V37" s="223">
        <v>34069.360000000001</v>
      </c>
      <c r="W37" s="223">
        <v>34070.04</v>
      </c>
      <c r="X37" s="224"/>
      <c r="Y37" s="224"/>
    </row>
    <row r="38" spans="1:25" x14ac:dyDescent="0.25">
      <c r="B38" s="226" t="s">
        <v>437</v>
      </c>
      <c r="C38" s="227" t="s">
        <v>438</v>
      </c>
      <c r="D38" s="228"/>
      <c r="E38" s="228">
        <f t="shared" ref="E38:L38" si="7">E35/E33</f>
        <v>1.7946504441869449</v>
      </c>
      <c r="F38" s="228">
        <f t="shared" si="7"/>
        <v>1.7946504441869449</v>
      </c>
      <c r="G38" s="228">
        <f t="shared" si="7"/>
        <v>1.3459878331402086</v>
      </c>
      <c r="H38" s="228">
        <f t="shared" si="7"/>
        <v>0.94677095403630751</v>
      </c>
      <c r="I38" s="228">
        <f t="shared" si="7"/>
        <v>0.95550791811510238</v>
      </c>
      <c r="J38" s="228">
        <f t="shared" si="7"/>
        <v>0.40111301044634384</v>
      </c>
      <c r="K38" s="228">
        <f t="shared" si="7"/>
        <v>0.52144691358024708</v>
      </c>
      <c r="L38" s="228">
        <f t="shared" si="7"/>
        <v>0.68189211775878456</v>
      </c>
      <c r="M38" s="226" t="s">
        <v>437</v>
      </c>
      <c r="N38" s="220" t="s">
        <v>438</v>
      </c>
      <c r="O38" s="228"/>
      <c r="P38" s="228">
        <v>5.4802744425385939</v>
      </c>
      <c r="Q38" s="228">
        <v>5.4803602058319036</v>
      </c>
      <c r="R38" s="228">
        <v>5.4804459691252143</v>
      </c>
      <c r="S38" s="228">
        <v>5.480531732418525</v>
      </c>
      <c r="T38" s="228">
        <v>3.1430363864491846</v>
      </c>
      <c r="U38" s="228">
        <v>3.143099121706399</v>
      </c>
      <c r="V38" s="228">
        <v>3.1431618569636135</v>
      </c>
      <c r="W38" s="228">
        <v>3.143224592220828</v>
      </c>
      <c r="X38" s="229"/>
      <c r="Y38" s="229"/>
    </row>
    <row r="39" spans="1:25" x14ac:dyDescent="0.25">
      <c r="B39" s="197" t="s">
        <v>439</v>
      </c>
      <c r="C39" s="202" t="s">
        <v>398</v>
      </c>
      <c r="D39" s="139"/>
      <c r="E39" s="139">
        <f>[3]PVGebäude!D56</f>
        <v>209.73000000000002</v>
      </c>
      <c r="F39" s="139">
        <f>[3]PVGebäude!E127</f>
        <v>130.67000000000002</v>
      </c>
      <c r="G39" s="230">
        <f>[3]PVGebäude!N85</f>
        <v>124.7</v>
      </c>
      <c r="H39" s="139">
        <f>[3]PVGebäude!AL27</f>
        <v>127.96</v>
      </c>
      <c r="I39" s="139">
        <f>H39</f>
        <v>127.96</v>
      </c>
      <c r="J39" s="139">
        <f>12.2+10</f>
        <v>22.2</v>
      </c>
      <c r="K39" s="139">
        <f>12.2+10</f>
        <v>22.2</v>
      </c>
      <c r="L39" s="139">
        <f>K39</f>
        <v>22.2</v>
      </c>
      <c r="M39" s="197" t="s">
        <v>439</v>
      </c>
      <c r="N39" s="202" t="s">
        <v>398</v>
      </c>
      <c r="O39" s="221"/>
      <c r="P39" s="221">
        <v>303</v>
      </c>
      <c r="Q39" s="221">
        <v>439.7</v>
      </c>
      <c r="R39" s="221">
        <v>879.4</v>
      </c>
      <c r="S39" s="221">
        <v>1158.7</v>
      </c>
      <c r="T39" s="221">
        <v>256.60000000000002</v>
      </c>
      <c r="U39" s="221">
        <v>619.9</v>
      </c>
      <c r="V39" s="221">
        <v>1030.4000000000001</v>
      </c>
      <c r="W39" s="221">
        <v>1123.8</v>
      </c>
      <c r="X39" s="221"/>
      <c r="Y39" s="221"/>
    </row>
    <row r="40" spans="1:25" x14ac:dyDescent="0.25">
      <c r="B40" s="197" t="s">
        <v>440</v>
      </c>
      <c r="C40" s="220" t="s">
        <v>441</v>
      </c>
      <c r="D40" s="223"/>
      <c r="E40" s="223">
        <f>[3]PVGebäude!J107</f>
        <v>204022</v>
      </c>
      <c r="F40" s="223">
        <f>[3]PVGebäude!J127</f>
        <v>135880</v>
      </c>
      <c r="G40" s="223">
        <f>[3]PVGebäude!Q85</f>
        <v>140107.84826326772</v>
      </c>
      <c r="H40" s="223">
        <f>[3]PVGebäude!AO27</f>
        <v>110009.89115696501</v>
      </c>
      <c r="I40" s="223">
        <f>H40</f>
        <v>110009.89115696501</v>
      </c>
      <c r="J40" s="223">
        <f>J39*1150</f>
        <v>25530</v>
      </c>
      <c r="K40" s="223">
        <f>K39*1150</f>
        <v>25530</v>
      </c>
      <c r="L40" s="223">
        <f>K40</f>
        <v>25530</v>
      </c>
      <c r="M40" s="197" t="s">
        <v>440</v>
      </c>
      <c r="N40" s="220" t="s">
        <v>441</v>
      </c>
      <c r="O40" s="223"/>
      <c r="P40" s="223">
        <v>314106.08</v>
      </c>
      <c r="Q40" s="223">
        <v>433541.60000000003</v>
      </c>
      <c r="R40" s="223">
        <v>829895.44899999991</v>
      </c>
      <c r="S40" s="223">
        <v>997523.18400000106</v>
      </c>
      <c r="T40" s="223">
        <v>264438.40000000002</v>
      </c>
      <c r="U40" s="223">
        <v>637258.56000000006</v>
      </c>
      <c r="V40" s="223">
        <v>1034071.7619999998</v>
      </c>
      <c r="W40" s="223">
        <v>1096514.7</v>
      </c>
      <c r="X40" s="221"/>
      <c r="Y40" s="221"/>
    </row>
    <row r="41" spans="1:25" x14ac:dyDescent="0.25">
      <c r="B41" s="197" t="s">
        <v>442</v>
      </c>
      <c r="C41" s="220" t="s">
        <v>443</v>
      </c>
      <c r="D41" s="223">
        <f>D18</f>
        <v>19.927994136880574</v>
      </c>
      <c r="E41" s="224">
        <f>E40/E35</f>
        <v>43.910166044314352</v>
      </c>
      <c r="F41" s="224">
        <f t="shared" ref="F41:L41" si="8">F40/F35</f>
        <v>29.244460705715237</v>
      </c>
      <c r="G41" s="224">
        <f t="shared" si="8"/>
        <v>40.205852841698025</v>
      </c>
      <c r="H41" s="224">
        <f t="shared" si="8"/>
        <v>44.880197437556859</v>
      </c>
      <c r="I41" s="224">
        <f t="shared" si="8"/>
        <v>44.469822321425255</v>
      </c>
      <c r="J41" s="231">
        <f t="shared" si="8"/>
        <v>60.444347636680455</v>
      </c>
      <c r="K41" s="224">
        <f t="shared" si="8"/>
        <v>46.495652028215723</v>
      </c>
      <c r="L41" s="224">
        <f t="shared" si="8"/>
        <v>35.555498609812027</v>
      </c>
      <c r="M41" s="197" t="s">
        <v>442</v>
      </c>
      <c r="N41" s="220" t="s">
        <v>443</v>
      </c>
      <c r="O41" s="224">
        <f>O48</f>
        <v>19.927994136880574</v>
      </c>
      <c r="P41" s="224">
        <f t="shared" ref="P41:W41" si="9">P40/P35</f>
        <v>4.9155881064162754</v>
      </c>
      <c r="Q41" s="224">
        <f t="shared" si="9"/>
        <v>6.7845824009013951</v>
      </c>
      <c r="R41" s="224">
        <f t="shared" si="9"/>
        <v>12.987002738568432</v>
      </c>
      <c r="S41" s="224">
        <f t="shared" si="9"/>
        <v>15.60995859349328</v>
      </c>
      <c r="T41" s="224">
        <f t="shared" si="9"/>
        <v>5.2782115768463083</v>
      </c>
      <c r="U41" s="224">
        <f t="shared" si="9"/>
        <v>12.719477854733439</v>
      </c>
      <c r="V41" s="224">
        <f t="shared" si="9"/>
        <v>20.639331004750304</v>
      </c>
      <c r="W41" s="224">
        <f t="shared" si="9"/>
        <v>21.885210466439133</v>
      </c>
      <c r="X41" s="224"/>
      <c r="Y41" s="224"/>
    </row>
    <row r="42" spans="1:25" x14ac:dyDescent="0.25">
      <c r="B42" s="197" t="s">
        <v>444</v>
      </c>
      <c r="C42" s="220" t="s">
        <v>445</v>
      </c>
      <c r="D42" s="223">
        <f t="shared" ref="D42:D43" si="10">D19</f>
        <v>24.909992671100749</v>
      </c>
      <c r="E42" s="224">
        <f>E40/E36</f>
        <v>54.887707555392936</v>
      </c>
      <c r="F42" s="224">
        <f t="shared" ref="F42:L42" si="11">F40/F36</f>
        <v>36.555575882144048</v>
      </c>
      <c r="G42" s="224">
        <f t="shared" si="11"/>
        <v>50.257316052122526</v>
      </c>
      <c r="H42" s="224">
        <f t="shared" si="11"/>
        <v>56.100246796946074</v>
      </c>
      <c r="I42" s="224">
        <f t="shared" si="11"/>
        <v>55.587277901781569</v>
      </c>
      <c r="J42" s="224">
        <f t="shared" si="11"/>
        <v>75.555434545850559</v>
      </c>
      <c r="K42" s="224">
        <f t="shared" si="11"/>
        <v>58.119565035269659</v>
      </c>
      <c r="L42" s="224">
        <f t="shared" si="11"/>
        <v>44.444373262265032</v>
      </c>
      <c r="M42" s="197" t="s">
        <v>444</v>
      </c>
      <c r="N42" s="220" t="s">
        <v>445</v>
      </c>
      <c r="O42" s="224">
        <f>O49</f>
        <v>24.909992671100749</v>
      </c>
      <c r="P42" s="224">
        <f t="shared" ref="P42:W42" si="12">P40/P36</f>
        <v>6.1444851330203445</v>
      </c>
      <c r="Q42" s="224">
        <f t="shared" si="12"/>
        <v>8.4807280011267423</v>
      </c>
      <c r="R42" s="224">
        <f t="shared" si="12"/>
        <v>16.233753423210537</v>
      </c>
      <c r="S42" s="224">
        <f t="shared" si="12"/>
        <v>19.512448241866601</v>
      </c>
      <c r="T42" s="224">
        <f t="shared" si="12"/>
        <v>6.5977644710578849</v>
      </c>
      <c r="U42" s="224">
        <f t="shared" si="12"/>
        <v>15.899347318416797</v>
      </c>
      <c r="V42" s="224">
        <f t="shared" si="12"/>
        <v>25.799163755937876</v>
      </c>
      <c r="W42" s="224">
        <f t="shared" si="12"/>
        <v>27.356513083048917</v>
      </c>
      <c r="X42" s="224"/>
      <c r="Y42" s="224"/>
    </row>
    <row r="43" spans="1:25" x14ac:dyDescent="0.25">
      <c r="B43" s="196" t="s">
        <v>446</v>
      </c>
      <c r="C43" s="232" t="s">
        <v>447</v>
      </c>
      <c r="D43" s="139">
        <f t="shared" si="10"/>
        <v>29.305873730706764</v>
      </c>
      <c r="E43" s="233">
        <f>E40/E37</f>
        <v>70.767747261514145</v>
      </c>
      <c r="F43" s="233">
        <f t="shared" ref="F43:L43" si="13">F40/F37</f>
        <v>47.131787247917096</v>
      </c>
      <c r="G43" s="233">
        <f t="shared" si="13"/>
        <v>62.757993587158715</v>
      </c>
      <c r="H43" s="233">
        <f t="shared" si="13"/>
        <v>59.715935749782879</v>
      </c>
      <c r="I43" s="233">
        <f>I40/I37</f>
        <v>61.531602674127171</v>
      </c>
      <c r="J43" s="233">
        <f t="shared" ref="J43" si="14">J40/J37</f>
        <v>81.30573248407643</v>
      </c>
      <c r="K43" s="233">
        <f t="shared" si="13"/>
        <v>62.542871141597239</v>
      </c>
      <c r="L43" s="233">
        <f t="shared" si="13"/>
        <v>47.826901461221418</v>
      </c>
      <c r="M43" s="196" t="s">
        <v>446</v>
      </c>
      <c r="N43" s="232" t="s">
        <v>447</v>
      </c>
      <c r="O43" s="233">
        <f>O50</f>
        <v>29.305873730706764</v>
      </c>
      <c r="P43" s="233">
        <f t="shared" ref="P43:W43" si="15">P40/P37</f>
        <v>7.2288060388474644</v>
      </c>
      <c r="Q43" s="233">
        <f t="shared" si="15"/>
        <v>9.9773270601491095</v>
      </c>
      <c r="R43" s="233">
        <f t="shared" si="15"/>
        <v>19.098533439071222</v>
      </c>
      <c r="S43" s="233">
        <f t="shared" si="15"/>
        <v>22.955821461019529</v>
      </c>
      <c r="T43" s="233">
        <f t="shared" si="15"/>
        <v>7.762075848303394</v>
      </c>
      <c r="U43" s="233">
        <f t="shared" si="15"/>
        <v>18.705114492255056</v>
      </c>
      <c r="V43" s="233">
        <f t="shared" si="15"/>
        <v>30.351957359926917</v>
      </c>
      <c r="W43" s="233">
        <f t="shared" si="15"/>
        <v>32.184133038881079</v>
      </c>
      <c r="X43" s="233"/>
      <c r="Y43" s="233"/>
    </row>
    <row r="44" spans="1:25" x14ac:dyDescent="0.25">
      <c r="B44" s="234" t="s">
        <v>448</v>
      </c>
      <c r="C44" s="235" t="s">
        <v>392</v>
      </c>
      <c r="D44" s="236" t="e">
        <f>D22</f>
        <v>#DIV/0!</v>
      </c>
      <c r="E44" s="237">
        <f t="shared" ref="E44:L44" si="16">E40/E33</f>
        <v>78.803398995751252</v>
      </c>
      <c r="F44" s="237">
        <f t="shared" si="16"/>
        <v>52.483584395519507</v>
      </c>
      <c r="G44" s="237">
        <f t="shared" si="16"/>
        <v>54.116588745951226</v>
      </c>
      <c r="H44" s="237">
        <f t="shared" si="16"/>
        <v>42.491267345293551</v>
      </c>
      <c r="I44" s="237">
        <f t="shared" si="16"/>
        <v>42.491267345293551</v>
      </c>
      <c r="J44" s="238">
        <f t="shared" si="16"/>
        <v>24.245014245014247</v>
      </c>
      <c r="K44" s="238">
        <f t="shared" si="16"/>
        <v>24.245014245014247</v>
      </c>
      <c r="L44" s="238">
        <f t="shared" si="16"/>
        <v>24.245014245014247</v>
      </c>
      <c r="M44" s="234" t="s">
        <v>448</v>
      </c>
      <c r="N44" s="235" t="s">
        <v>392</v>
      </c>
      <c r="O44" s="238" t="e">
        <f>O51</f>
        <v>#DIV/0!</v>
      </c>
      <c r="P44" s="238">
        <f t="shared" ref="P44:W44" si="17">P40/P33</f>
        <v>26.938771869639794</v>
      </c>
      <c r="Q44" s="237">
        <f t="shared" si="17"/>
        <v>37.181955403087478</v>
      </c>
      <c r="R44" s="237">
        <f t="shared" si="17"/>
        <v>71.17456680960548</v>
      </c>
      <c r="S44" s="237">
        <f t="shared" si="17"/>
        <v>85.550873413379165</v>
      </c>
      <c r="T44" s="238">
        <f t="shared" si="17"/>
        <v>16.58961104140527</v>
      </c>
      <c r="U44" s="237">
        <f t="shared" si="17"/>
        <v>39.978579673776665</v>
      </c>
      <c r="V44" s="237">
        <f t="shared" si="17"/>
        <v>64.872757967377652</v>
      </c>
      <c r="W44" s="237">
        <f t="shared" si="17"/>
        <v>68.790131744040153</v>
      </c>
      <c r="X44" s="239"/>
      <c r="Y44" s="239"/>
    </row>
    <row r="45" spans="1:25" x14ac:dyDescent="0.25">
      <c r="B45" s="240" t="s">
        <v>449</v>
      </c>
      <c r="C45" s="241" t="s">
        <v>394</v>
      </c>
      <c r="D45" s="242" t="e">
        <f t="shared" ref="D45:D46" si="18">D23</f>
        <v>#DIV/0!</v>
      </c>
      <c r="E45" s="243">
        <f>E44</f>
        <v>78.803398995751252</v>
      </c>
      <c r="F45" s="243">
        <f t="shared" ref="F45:L45" si="19">F44</f>
        <v>52.483584395519507</v>
      </c>
      <c r="G45" s="243">
        <f t="shared" si="19"/>
        <v>54.116588745951226</v>
      </c>
      <c r="H45" s="243">
        <f t="shared" si="19"/>
        <v>42.491267345293551</v>
      </c>
      <c r="I45" s="243">
        <f t="shared" si="19"/>
        <v>42.491267345293551</v>
      </c>
      <c r="J45" s="244">
        <f t="shared" si="19"/>
        <v>24.245014245014247</v>
      </c>
      <c r="K45" s="244">
        <f t="shared" si="19"/>
        <v>24.245014245014247</v>
      </c>
      <c r="L45" s="244">
        <f t="shared" si="19"/>
        <v>24.245014245014247</v>
      </c>
      <c r="M45" s="240" t="s">
        <v>449</v>
      </c>
      <c r="N45" s="244" t="str">
        <f>C45</f>
        <v>kWh/m²Grst.bebaut a</v>
      </c>
      <c r="O45" s="244" t="e">
        <f>D45</f>
        <v>#DIV/0!</v>
      </c>
      <c r="P45" s="244">
        <f>P44</f>
        <v>26.938771869639794</v>
      </c>
      <c r="Q45" s="243">
        <f t="shared" ref="Q45:W45" si="20">Q44</f>
        <v>37.181955403087478</v>
      </c>
      <c r="R45" s="243">
        <f t="shared" si="20"/>
        <v>71.17456680960548</v>
      </c>
      <c r="S45" s="243">
        <f t="shared" si="20"/>
        <v>85.550873413379165</v>
      </c>
      <c r="T45" s="244">
        <f t="shared" si="20"/>
        <v>16.58961104140527</v>
      </c>
      <c r="U45" s="243">
        <f t="shared" si="20"/>
        <v>39.978579673776665</v>
      </c>
      <c r="V45" s="243">
        <f t="shared" si="20"/>
        <v>64.872757967377652</v>
      </c>
      <c r="W45" s="243">
        <f t="shared" si="20"/>
        <v>68.790131744040153</v>
      </c>
      <c r="X45" s="245"/>
      <c r="Y45" s="245"/>
    </row>
    <row r="46" spans="1:25" x14ac:dyDescent="0.25">
      <c r="B46" s="246" t="s">
        <v>450</v>
      </c>
      <c r="C46" s="247" t="s">
        <v>396</v>
      </c>
      <c r="D46" s="248" t="e">
        <f t="shared" si="18"/>
        <v>#DIV/0!</v>
      </c>
      <c r="E46" s="249">
        <f t="shared" ref="E46:L46" si="21">E40/E34</f>
        <v>197.12270531400966</v>
      </c>
      <c r="F46" s="249">
        <f t="shared" si="21"/>
        <v>131.28502415458937</v>
      </c>
      <c r="G46" s="249">
        <f t="shared" si="21"/>
        <v>135.36990170364029</v>
      </c>
      <c r="H46" s="249">
        <f t="shared" si="21"/>
        <v>106.28974991011111</v>
      </c>
      <c r="I46" s="249">
        <f t="shared" si="21"/>
        <v>106.28974991011111</v>
      </c>
      <c r="J46" s="249">
        <f t="shared" si="21"/>
        <v>120.88869527336091</v>
      </c>
      <c r="K46" s="249">
        <f t="shared" si="21"/>
        <v>120.88869527336091</v>
      </c>
      <c r="L46" s="249">
        <f t="shared" si="21"/>
        <v>120.88869527336091</v>
      </c>
      <c r="M46" s="246" t="s">
        <v>450</v>
      </c>
      <c r="N46" s="247" t="s">
        <v>396</v>
      </c>
      <c r="O46" s="245" t="e">
        <f>O52</f>
        <v>#DIV/0!</v>
      </c>
      <c r="P46" s="245">
        <f t="shared" ref="P46:W46" si="22">P40/P34</f>
        <v>48.70843425806752</v>
      </c>
      <c r="Q46" s="245">
        <f t="shared" si="22"/>
        <v>67.229302029866489</v>
      </c>
      <c r="R46" s="245">
        <f t="shared" si="22"/>
        <v>128.69189898739279</v>
      </c>
      <c r="S46" s="249">
        <f t="shared" si="22"/>
        <v>154.68593421930018</v>
      </c>
      <c r="T46" s="245">
        <f t="shared" si="22"/>
        <v>29.290917146654856</v>
      </c>
      <c r="U46" s="245">
        <f t="shared" si="22"/>
        <v>70.586902968542319</v>
      </c>
      <c r="V46" s="249">
        <f t="shared" si="22"/>
        <v>114.54051417811252</v>
      </c>
      <c r="W46" s="249">
        <f t="shared" si="22"/>
        <v>121.45710013291981</v>
      </c>
    </row>
    <row r="47" spans="1:25" ht="15.75" x14ac:dyDescent="0.25">
      <c r="A47" s="250" t="s">
        <v>451</v>
      </c>
      <c r="B47" s="250" t="s">
        <v>451</v>
      </c>
      <c r="M47" s="251" t="s">
        <v>451</v>
      </c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252"/>
      <c r="Y47" s="252"/>
    </row>
    <row r="48" spans="1:25" x14ac:dyDescent="0.25">
      <c r="B48" s="209" t="s">
        <v>452</v>
      </c>
      <c r="D48" s="252" t="str">
        <f t="shared" ref="D48:E50" si="23">C18</f>
        <v>kWh/m²BGF a</v>
      </c>
      <c r="E48" s="252">
        <f t="shared" si="23"/>
        <v>19.927994136880574</v>
      </c>
      <c r="F48" s="252">
        <f>E48</f>
        <v>19.927994136880574</v>
      </c>
      <c r="G48" s="252">
        <f t="shared" ref="G48:L52" si="24">F48</f>
        <v>19.927994136880574</v>
      </c>
      <c r="H48" s="252">
        <f t="shared" si="24"/>
        <v>19.927994136880574</v>
      </c>
      <c r="I48" s="252">
        <f t="shared" si="24"/>
        <v>19.927994136880574</v>
      </c>
      <c r="J48" s="252">
        <f t="shared" ref="J48:K52" si="25">H48</f>
        <v>19.927994136880574</v>
      </c>
      <c r="K48" s="252">
        <f t="shared" si="25"/>
        <v>19.927994136880574</v>
      </c>
      <c r="L48" s="252">
        <f t="shared" si="24"/>
        <v>19.927994136880574</v>
      </c>
      <c r="M48" s="209" t="s">
        <v>434</v>
      </c>
      <c r="O48" s="252">
        <f t="shared" ref="O48:P52" si="26">K48</f>
        <v>19.927994136880574</v>
      </c>
      <c r="P48" s="252">
        <f t="shared" si="26"/>
        <v>19.927994136880574</v>
      </c>
      <c r="Q48" s="252">
        <f t="shared" ref="Q48:W52" si="27">P48</f>
        <v>19.927994136880574</v>
      </c>
      <c r="R48" s="252">
        <f t="shared" si="27"/>
        <v>19.927994136880574</v>
      </c>
      <c r="S48" s="252">
        <f t="shared" si="27"/>
        <v>19.927994136880574</v>
      </c>
      <c r="T48" s="252">
        <f t="shared" si="27"/>
        <v>19.927994136880574</v>
      </c>
      <c r="U48" s="252">
        <f t="shared" si="27"/>
        <v>19.927994136880574</v>
      </c>
      <c r="V48" s="252">
        <f t="shared" si="27"/>
        <v>19.927994136880574</v>
      </c>
      <c r="W48" s="252">
        <f t="shared" si="27"/>
        <v>19.927994136880574</v>
      </c>
      <c r="X48" s="252"/>
      <c r="Y48" s="252"/>
    </row>
    <row r="49" spans="1:66" x14ac:dyDescent="0.25">
      <c r="B49" s="209" t="s">
        <v>435</v>
      </c>
      <c r="D49" s="252" t="str">
        <f t="shared" si="23"/>
        <v>kWh/m²NGF a</v>
      </c>
      <c r="E49" s="252">
        <f t="shared" si="23"/>
        <v>24.909992671100749</v>
      </c>
      <c r="F49" s="252">
        <f>E49</f>
        <v>24.909992671100749</v>
      </c>
      <c r="G49" s="252">
        <f t="shared" si="24"/>
        <v>24.909992671100749</v>
      </c>
      <c r="H49" s="252">
        <f t="shared" si="24"/>
        <v>24.909992671100749</v>
      </c>
      <c r="I49" s="252">
        <f t="shared" si="24"/>
        <v>24.909992671100749</v>
      </c>
      <c r="J49" s="252">
        <f t="shared" si="25"/>
        <v>24.909992671100749</v>
      </c>
      <c r="K49" s="252">
        <f t="shared" si="25"/>
        <v>24.909992671100749</v>
      </c>
      <c r="L49" s="252">
        <f t="shared" si="24"/>
        <v>24.909992671100749</v>
      </c>
      <c r="M49" s="209" t="s">
        <v>435</v>
      </c>
      <c r="O49" s="252">
        <f t="shared" si="26"/>
        <v>24.909992671100749</v>
      </c>
      <c r="P49" s="252">
        <f t="shared" si="26"/>
        <v>24.909992671100749</v>
      </c>
      <c r="Q49" s="252">
        <f t="shared" si="27"/>
        <v>24.909992671100749</v>
      </c>
      <c r="R49" s="252">
        <f t="shared" si="27"/>
        <v>24.909992671100749</v>
      </c>
      <c r="S49" s="252">
        <f t="shared" si="27"/>
        <v>24.909992671100749</v>
      </c>
      <c r="T49" s="252">
        <f t="shared" si="27"/>
        <v>24.909992671100749</v>
      </c>
      <c r="U49" s="252">
        <f t="shared" si="27"/>
        <v>24.909992671100749</v>
      </c>
      <c r="V49" s="252">
        <f t="shared" si="27"/>
        <v>24.909992671100749</v>
      </c>
      <c r="W49" s="252">
        <f t="shared" si="27"/>
        <v>24.909992671100749</v>
      </c>
      <c r="X49" s="253"/>
      <c r="Y49" s="253"/>
    </row>
    <row r="50" spans="1:66" x14ac:dyDescent="0.25">
      <c r="B50" s="254" t="s">
        <v>453</v>
      </c>
      <c r="C50" s="255"/>
      <c r="D50" s="256" t="str">
        <f t="shared" si="23"/>
        <v>kWh/m²NF a</v>
      </c>
      <c r="E50" s="256">
        <f t="shared" si="23"/>
        <v>29.305873730706764</v>
      </c>
      <c r="F50" s="256">
        <f>E50</f>
        <v>29.305873730706764</v>
      </c>
      <c r="G50" s="256">
        <f t="shared" si="24"/>
        <v>29.305873730706764</v>
      </c>
      <c r="H50" s="256">
        <f t="shared" si="24"/>
        <v>29.305873730706764</v>
      </c>
      <c r="I50" s="256">
        <f t="shared" si="24"/>
        <v>29.305873730706764</v>
      </c>
      <c r="J50" s="256">
        <f t="shared" si="25"/>
        <v>29.305873730706764</v>
      </c>
      <c r="K50" s="256">
        <f t="shared" si="25"/>
        <v>29.305873730706764</v>
      </c>
      <c r="L50" s="256">
        <f t="shared" si="24"/>
        <v>29.305873730706764</v>
      </c>
      <c r="M50" s="254" t="s">
        <v>453</v>
      </c>
      <c r="N50" s="255"/>
      <c r="O50" s="256">
        <f t="shared" si="26"/>
        <v>29.305873730706764</v>
      </c>
      <c r="P50" s="256">
        <f t="shared" si="26"/>
        <v>29.305873730706764</v>
      </c>
      <c r="Q50" s="256">
        <f t="shared" si="27"/>
        <v>29.305873730706764</v>
      </c>
      <c r="R50" s="256">
        <f t="shared" si="27"/>
        <v>29.305873730706764</v>
      </c>
      <c r="S50" s="256">
        <f t="shared" si="27"/>
        <v>29.305873730706764</v>
      </c>
      <c r="T50" s="256">
        <f t="shared" si="27"/>
        <v>29.305873730706764</v>
      </c>
      <c r="U50" s="256">
        <f t="shared" si="27"/>
        <v>29.305873730706764</v>
      </c>
      <c r="V50" s="256">
        <f t="shared" si="27"/>
        <v>29.305873730706764</v>
      </c>
      <c r="W50" s="256">
        <f t="shared" si="27"/>
        <v>29.305873730706764</v>
      </c>
      <c r="X50" s="239"/>
      <c r="Y50" s="239"/>
    </row>
    <row r="51" spans="1:66" x14ac:dyDescent="0.25">
      <c r="B51" s="234" t="s">
        <v>454</v>
      </c>
      <c r="C51" s="235"/>
      <c r="D51" s="238" t="str">
        <f>C22</f>
        <v>kWh/m²Grst.a</v>
      </c>
      <c r="E51" s="238" t="e">
        <f>D22</f>
        <v>#DIV/0!</v>
      </c>
      <c r="F51" s="238" t="e">
        <f>E51</f>
        <v>#DIV/0!</v>
      </c>
      <c r="G51" s="238" t="e">
        <f t="shared" si="24"/>
        <v>#DIV/0!</v>
      </c>
      <c r="H51" s="238" t="e">
        <f t="shared" si="24"/>
        <v>#DIV/0!</v>
      </c>
      <c r="I51" s="238" t="e">
        <f t="shared" si="24"/>
        <v>#DIV/0!</v>
      </c>
      <c r="J51" s="238" t="e">
        <f t="shared" si="25"/>
        <v>#DIV/0!</v>
      </c>
      <c r="K51" s="238" t="e">
        <f t="shared" si="25"/>
        <v>#DIV/0!</v>
      </c>
      <c r="L51" s="238" t="e">
        <f t="shared" si="24"/>
        <v>#DIV/0!</v>
      </c>
      <c r="M51" s="234" t="s">
        <v>454</v>
      </c>
      <c r="N51" s="235"/>
      <c r="O51" s="238" t="e">
        <f t="shared" si="26"/>
        <v>#DIV/0!</v>
      </c>
      <c r="P51" s="238" t="e">
        <f t="shared" si="26"/>
        <v>#DIV/0!</v>
      </c>
      <c r="Q51" s="238" t="e">
        <f t="shared" si="27"/>
        <v>#DIV/0!</v>
      </c>
      <c r="R51" s="238" t="e">
        <f t="shared" si="27"/>
        <v>#DIV/0!</v>
      </c>
      <c r="S51" s="238" t="e">
        <f t="shared" si="27"/>
        <v>#DIV/0!</v>
      </c>
      <c r="T51" s="238" t="e">
        <f t="shared" si="27"/>
        <v>#DIV/0!</v>
      </c>
      <c r="U51" s="238" t="e">
        <f t="shared" si="27"/>
        <v>#DIV/0!</v>
      </c>
      <c r="V51" s="238" t="e">
        <f t="shared" si="27"/>
        <v>#DIV/0!</v>
      </c>
      <c r="W51" s="238" t="e">
        <f t="shared" si="27"/>
        <v>#DIV/0!</v>
      </c>
      <c r="X51" s="257"/>
      <c r="Y51" s="257"/>
    </row>
    <row r="52" spans="1:66" x14ac:dyDescent="0.25">
      <c r="B52" s="246" t="s">
        <v>357</v>
      </c>
      <c r="C52" s="247"/>
      <c r="D52" s="258" t="str">
        <f>C24</f>
        <v>kWh/m²bebaut a</v>
      </c>
      <c r="E52" s="258" t="e">
        <f>D24</f>
        <v>#DIV/0!</v>
      </c>
      <c r="F52" s="258" t="e">
        <f>E52</f>
        <v>#DIV/0!</v>
      </c>
      <c r="G52" s="258" t="e">
        <f t="shared" si="24"/>
        <v>#DIV/0!</v>
      </c>
      <c r="H52" s="258" t="e">
        <f t="shared" si="24"/>
        <v>#DIV/0!</v>
      </c>
      <c r="I52" s="258" t="e">
        <f t="shared" si="24"/>
        <v>#DIV/0!</v>
      </c>
      <c r="J52" s="258" t="e">
        <f t="shared" si="25"/>
        <v>#DIV/0!</v>
      </c>
      <c r="K52" s="258" t="e">
        <f t="shared" si="25"/>
        <v>#DIV/0!</v>
      </c>
      <c r="L52" s="258" t="e">
        <f t="shared" si="24"/>
        <v>#DIV/0!</v>
      </c>
      <c r="M52" s="246" t="s">
        <v>357</v>
      </c>
      <c r="N52" s="247"/>
      <c r="O52" s="258" t="e">
        <f t="shared" si="26"/>
        <v>#DIV/0!</v>
      </c>
      <c r="P52" s="258" t="e">
        <f t="shared" si="26"/>
        <v>#DIV/0!</v>
      </c>
      <c r="Q52" s="258" t="e">
        <f t="shared" si="27"/>
        <v>#DIV/0!</v>
      </c>
      <c r="R52" s="258" t="e">
        <f t="shared" si="27"/>
        <v>#DIV/0!</v>
      </c>
      <c r="S52" s="258" t="e">
        <f t="shared" si="27"/>
        <v>#DIV/0!</v>
      </c>
      <c r="T52" s="258" t="e">
        <f t="shared" si="27"/>
        <v>#DIV/0!</v>
      </c>
      <c r="U52" s="258" t="e">
        <f t="shared" si="27"/>
        <v>#DIV/0!</v>
      </c>
      <c r="V52" s="258" t="e">
        <f t="shared" si="27"/>
        <v>#DIV/0!</v>
      </c>
      <c r="W52" s="258" t="e">
        <f t="shared" si="27"/>
        <v>#DIV/0!</v>
      </c>
    </row>
    <row r="53" spans="1:66" x14ac:dyDescent="0.25">
      <c r="E53" s="259"/>
      <c r="F53" s="260"/>
      <c r="G53" s="261"/>
      <c r="H53" s="262"/>
      <c r="I53" s="263"/>
      <c r="J53" s="261"/>
      <c r="K53" s="261"/>
      <c r="L53" s="264"/>
      <c r="M53" s="261"/>
      <c r="O53" s="260"/>
    </row>
    <row r="54" spans="1:66" x14ac:dyDescent="0.25">
      <c r="Q54" s="265"/>
      <c r="R54" s="265"/>
      <c r="S54" s="265"/>
      <c r="T54" s="265"/>
      <c r="U54" s="265"/>
      <c r="V54" s="265"/>
      <c r="W54" s="265"/>
      <c r="X54" s="265"/>
      <c r="Y54" s="265"/>
      <c r="Z54" s="265"/>
    </row>
    <row r="55" spans="1:66" x14ac:dyDescent="0.25">
      <c r="B55" s="92"/>
      <c r="G55">
        <f>G68*1000/W15</f>
        <v>189.3732759414635</v>
      </c>
      <c r="K55" s="92"/>
      <c r="L55" s="58"/>
      <c r="M55" s="266" t="s">
        <v>455</v>
      </c>
      <c r="N55" s="267"/>
      <c r="O55" s="267"/>
      <c r="P55" s="268"/>
      <c r="Q55" s="269" t="s">
        <v>456</v>
      </c>
      <c r="R55" s="270"/>
      <c r="S55" s="271"/>
      <c r="T55" s="271"/>
      <c r="U55" s="272"/>
      <c r="V55" s="273" t="s">
        <v>457</v>
      </c>
      <c r="W55" s="273"/>
      <c r="X55" s="265"/>
      <c r="Y55" s="265"/>
      <c r="Z55" s="265"/>
      <c r="AA55" s="182" t="s">
        <v>458</v>
      </c>
      <c r="AF55" s="92"/>
      <c r="AG55" s="274" t="s">
        <v>459</v>
      </c>
      <c r="AH55" s="275"/>
      <c r="AI55" s="275"/>
      <c r="AJ55" s="275"/>
      <c r="AK55" s="275"/>
    </row>
    <row r="56" spans="1:66" ht="167.25" x14ac:dyDescent="0.3">
      <c r="B56" s="122" t="s">
        <v>72</v>
      </c>
      <c r="C56" s="123" t="s">
        <v>157</v>
      </c>
      <c r="D56" s="123" t="s">
        <v>158</v>
      </c>
      <c r="E56" s="123" t="str">
        <f>[3]TabellenEE!J36</f>
        <v>2050      Streicher 0,8% Var1 Mobi LW UBA</v>
      </c>
      <c r="F56" s="276" t="s">
        <v>460</v>
      </c>
      <c r="G56" s="203" t="s">
        <v>461</v>
      </c>
      <c r="H56" s="276" t="s">
        <v>462</v>
      </c>
      <c r="I56" s="277" t="s">
        <v>463</v>
      </c>
      <c r="J56" s="277" t="str">
        <f>Q55</f>
        <v>"Pierre  Aug.2018" exkl. tiefe Geothermie</v>
      </c>
      <c r="K56" s="122" t="s">
        <v>464</v>
      </c>
      <c r="L56" s="278" t="s">
        <v>465</v>
      </c>
      <c r="M56" s="279" t="s">
        <v>466</v>
      </c>
      <c r="N56" s="202" t="s">
        <v>467</v>
      </c>
      <c r="O56" s="279" t="s">
        <v>468</v>
      </c>
      <c r="P56" s="280" t="s">
        <v>469</v>
      </c>
      <c r="Q56" s="281" t="s">
        <v>456</v>
      </c>
      <c r="R56" s="282" t="s">
        <v>466</v>
      </c>
      <c r="S56" s="283" t="s">
        <v>467</v>
      </c>
      <c r="T56" s="282" t="s">
        <v>468</v>
      </c>
      <c r="U56" s="284" t="s">
        <v>470</v>
      </c>
      <c r="V56" s="285" t="s">
        <v>463</v>
      </c>
      <c r="W56" s="282" t="s">
        <v>466</v>
      </c>
      <c r="X56" s="283" t="s">
        <v>467</v>
      </c>
      <c r="Y56" s="282" t="s">
        <v>468</v>
      </c>
      <c r="Z56" s="286" t="s">
        <v>469</v>
      </c>
      <c r="AA56" s="279" t="s">
        <v>466</v>
      </c>
      <c r="AB56" s="202" t="s">
        <v>467</v>
      </c>
      <c r="AC56" s="279" t="s">
        <v>468</v>
      </c>
      <c r="AD56" s="287" t="s">
        <v>469</v>
      </c>
      <c r="AE56" s="122" t="s">
        <v>471</v>
      </c>
      <c r="AG56" s="288" t="s">
        <v>456</v>
      </c>
      <c r="AH56" s="288" t="s">
        <v>466</v>
      </c>
      <c r="AI56" s="289" t="s">
        <v>467</v>
      </c>
      <c r="AJ56" s="288" t="s">
        <v>468</v>
      </c>
      <c r="AK56" s="290" t="s">
        <v>470</v>
      </c>
    </row>
    <row r="57" spans="1:66" x14ac:dyDescent="0.25">
      <c r="B57" s="59"/>
      <c r="C57" s="126" t="s">
        <v>92</v>
      </c>
      <c r="D57" s="126" t="s">
        <v>92</v>
      </c>
      <c r="E57" s="126" t="s">
        <v>92</v>
      </c>
      <c r="F57" s="291" t="s">
        <v>368</v>
      </c>
      <c r="G57" s="291" t="s">
        <v>368</v>
      </c>
      <c r="H57" s="291" t="s">
        <v>368</v>
      </c>
      <c r="I57" s="291" t="s">
        <v>368</v>
      </c>
      <c r="J57" s="291"/>
      <c r="K57" s="59"/>
      <c r="L57" s="292" t="s">
        <v>368</v>
      </c>
      <c r="M57" s="291" t="s">
        <v>368</v>
      </c>
      <c r="N57" s="291" t="s">
        <v>368</v>
      </c>
      <c r="O57" s="291" t="s">
        <v>368</v>
      </c>
      <c r="P57" s="293" t="s">
        <v>368</v>
      </c>
      <c r="Q57" s="292" t="s">
        <v>368</v>
      </c>
      <c r="R57" s="291" t="s">
        <v>368</v>
      </c>
      <c r="S57" s="291" t="s">
        <v>368</v>
      </c>
      <c r="T57" s="291" t="s">
        <v>368</v>
      </c>
      <c r="U57" s="293" t="s">
        <v>368</v>
      </c>
      <c r="V57" s="291" t="s">
        <v>368</v>
      </c>
      <c r="W57" s="291" t="s">
        <v>368</v>
      </c>
      <c r="X57" s="291" t="s">
        <v>368</v>
      </c>
      <c r="Y57" s="291" t="s">
        <v>368</v>
      </c>
      <c r="Z57" s="291" t="s">
        <v>368</v>
      </c>
      <c r="AA57" s="291" t="s">
        <v>368</v>
      </c>
      <c r="AB57" s="291" t="s">
        <v>368</v>
      </c>
      <c r="AC57" s="291" t="s">
        <v>368</v>
      </c>
      <c r="AD57" s="291" t="s">
        <v>368</v>
      </c>
      <c r="AE57" s="59"/>
      <c r="AG57" s="292" t="s">
        <v>368</v>
      </c>
      <c r="AH57" s="291" t="s">
        <v>368</v>
      </c>
      <c r="AI57" s="291" t="s">
        <v>368</v>
      </c>
      <c r="AJ57" s="291" t="s">
        <v>368</v>
      </c>
      <c r="AK57" s="293" t="s">
        <v>368</v>
      </c>
    </row>
    <row r="58" spans="1:66" ht="18.75" x14ac:dyDescent="0.3">
      <c r="A58" s="294"/>
      <c r="B58" s="295" t="s">
        <v>73</v>
      </c>
      <c r="C58" s="126"/>
      <c r="D58" s="126"/>
      <c r="E58" s="126"/>
      <c r="F58" s="222"/>
      <c r="G58" s="222"/>
      <c r="H58" s="222"/>
      <c r="I58" s="222"/>
      <c r="J58" s="222"/>
      <c r="K58" s="295" t="s">
        <v>73</v>
      </c>
      <c r="L58" s="296"/>
      <c r="M58" s="222"/>
      <c r="N58" s="222"/>
      <c r="O58" s="222"/>
      <c r="P58" s="297"/>
      <c r="Q58" s="296"/>
      <c r="R58" s="222"/>
      <c r="S58" s="222"/>
      <c r="T58" s="222"/>
      <c r="U58" s="297"/>
      <c r="V58" s="222"/>
      <c r="W58" s="222"/>
      <c r="X58" s="222"/>
      <c r="Y58" s="222"/>
      <c r="Z58" s="222"/>
      <c r="AA58" s="222"/>
      <c r="AB58" s="222"/>
      <c r="AC58" s="222"/>
      <c r="AD58" s="222"/>
      <c r="AE58" s="295" t="s">
        <v>73</v>
      </c>
      <c r="AF58" s="294"/>
      <c r="AG58" s="222"/>
      <c r="AH58" s="222"/>
      <c r="AI58" s="222"/>
      <c r="AJ58" s="222"/>
      <c r="AK58" s="298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  <c r="BJ58" s="294"/>
      <c r="BK58" s="294"/>
      <c r="BL58" s="294"/>
      <c r="BM58" s="294"/>
      <c r="BN58" s="294"/>
    </row>
    <row r="59" spans="1:66" x14ac:dyDescent="0.25">
      <c r="B59" s="128" t="s">
        <v>74</v>
      </c>
      <c r="C59" s="129">
        <v>86</v>
      </c>
      <c r="D59" s="129">
        <v>0</v>
      </c>
      <c r="E59" s="129">
        <f>[3]TabellenEE!J39</f>
        <v>0</v>
      </c>
      <c r="F59" s="223">
        <f t="shared" ref="F59:F67" si="28">C59*1000000/3.6*$M$15</f>
        <v>37631.408316972367</v>
      </c>
      <c r="G59" s="223">
        <f>[3]EEKorneuburgStreicher!O27</f>
        <v>104450.78356819091</v>
      </c>
      <c r="H59" s="223">
        <f t="shared" ref="H59:H67" si="29">E59*1000000/3.6*$M$11</f>
        <v>0</v>
      </c>
      <c r="I59" s="139">
        <f>H59</f>
        <v>0</v>
      </c>
      <c r="J59" s="139">
        <f t="shared" ref="J59:J68" si="30">Q59</f>
        <v>740.08582369031433</v>
      </c>
      <c r="K59" s="128" t="s">
        <v>74</v>
      </c>
      <c r="L59" s="299">
        <f t="shared" ref="L59:L67" si="31">I59</f>
        <v>0</v>
      </c>
      <c r="M59" s="221"/>
      <c r="N59" s="223">
        <f>I59-M59</f>
        <v>0</v>
      </c>
      <c r="O59" s="221"/>
      <c r="P59" s="300">
        <f>N59-O59</f>
        <v>0</v>
      </c>
      <c r="Q59" s="301">
        <f>([3]SimonStadt!E8+[3]SimonStadt!F8+[3]SimonStadt!J8+[3]SimonStadt!K8)/1000</f>
        <v>740.08582369031433</v>
      </c>
      <c r="R59" s="221"/>
      <c r="S59" s="223">
        <f t="shared" ref="S59:S67" si="32">IF($Q59&gt;R59,$Q59-R59,0)</f>
        <v>740.08582369031433</v>
      </c>
      <c r="T59" s="221"/>
      <c r="U59" s="300">
        <f>S59-T59</f>
        <v>740.08582369031433</v>
      </c>
      <c r="V59" s="139">
        <f t="shared" ref="V59:V67" si="33">Q59</f>
        <v>740.08582369031433</v>
      </c>
      <c r="W59" s="221"/>
      <c r="X59" s="223">
        <f t="shared" ref="X59:X67" si="34">IF($Q59&gt;W59,$Q59-W59,0)</f>
        <v>740.08582369031433</v>
      </c>
      <c r="Y59" s="221"/>
      <c r="Z59" s="223">
        <f>IF($X59&gt;Y59,$X59-Y59,0)</f>
        <v>740.08582369031433</v>
      </c>
      <c r="AA59" s="221"/>
      <c r="AB59" s="223">
        <f>P59-AA59</f>
        <v>0</v>
      </c>
      <c r="AC59" s="221"/>
      <c r="AD59" s="223">
        <f>AB59-AC59</f>
        <v>0</v>
      </c>
      <c r="AE59" s="128" t="s">
        <v>74</v>
      </c>
      <c r="AG59" s="301">
        <f>([3]SimonStadt!U8+[3]SimonStadt!V8+[3]SimonStadt!Z8+[3]SimonStadt!AA8)/1000</f>
        <v>0</v>
      </c>
      <c r="AH59" s="221"/>
      <c r="AI59" s="223">
        <f t="shared" ref="AI59:AI67" si="35">IF(AG59&gt;AH59,AG59-AH59,0)</f>
        <v>0</v>
      </c>
      <c r="AJ59" s="221"/>
      <c r="AK59" s="300">
        <f>AI59-AJ59</f>
        <v>0</v>
      </c>
    </row>
    <row r="60" spans="1:66" x14ac:dyDescent="0.25">
      <c r="B60" s="128" t="s">
        <v>75</v>
      </c>
      <c r="C60" s="129">
        <v>82</v>
      </c>
      <c r="D60" s="129">
        <v>0</v>
      </c>
      <c r="E60" s="129">
        <f>[3]TabellenEE!J40</f>
        <v>0</v>
      </c>
      <c r="F60" s="223">
        <f t="shared" si="28"/>
        <v>35881.110255717838</v>
      </c>
      <c r="G60" s="223">
        <f>X265+X266+X267+X268+X273+X274+X275+X276</f>
        <v>0</v>
      </c>
      <c r="H60" s="223">
        <f t="shared" si="29"/>
        <v>0</v>
      </c>
      <c r="I60" s="139">
        <f t="shared" ref="I60:I64" si="36">H60</f>
        <v>0</v>
      </c>
      <c r="J60" s="139">
        <f t="shared" si="30"/>
        <v>3833.6912907851925</v>
      </c>
      <c r="K60" s="128" t="s">
        <v>75</v>
      </c>
      <c r="L60" s="299">
        <f t="shared" si="31"/>
        <v>0</v>
      </c>
      <c r="M60" s="221"/>
      <c r="N60" s="223">
        <f t="shared" ref="N60:N67" si="37">$I60-M60</f>
        <v>0</v>
      </c>
      <c r="O60" s="221"/>
      <c r="P60" s="300">
        <f t="shared" ref="P60:P67" si="38">N60-O60</f>
        <v>0</v>
      </c>
      <c r="Q60" s="301">
        <f>([3]SimonStadt!E9+[3]SimonStadt!F9+[3]SimonStadt!J9+[3]SimonStadt!K9)/1000</f>
        <v>3833.6912907851925</v>
      </c>
      <c r="R60" s="221"/>
      <c r="S60" s="223">
        <f t="shared" si="32"/>
        <v>3833.6912907851925</v>
      </c>
      <c r="T60" s="221"/>
      <c r="U60" s="300">
        <f t="shared" ref="U60:U67" si="39">S60-T60</f>
        <v>3833.6912907851925</v>
      </c>
      <c r="V60" s="139">
        <f t="shared" si="33"/>
        <v>3833.6912907851925</v>
      </c>
      <c r="W60" s="221"/>
      <c r="X60" s="223">
        <f t="shared" si="34"/>
        <v>3833.6912907851925</v>
      </c>
      <c r="Y60" s="221"/>
      <c r="Z60" s="223">
        <f>IF($X60&gt;Y60,$X60-Y60,0)</f>
        <v>3833.6912907851925</v>
      </c>
      <c r="AA60" s="221"/>
      <c r="AB60" s="223">
        <f t="shared" ref="AB60:AB67" si="40">$I60-AA60</f>
        <v>0</v>
      </c>
      <c r="AC60" s="221"/>
      <c r="AD60" s="223">
        <f t="shared" ref="AD60:AD67" si="41">AB60-AC60</f>
        <v>0</v>
      </c>
      <c r="AE60" s="128" t="s">
        <v>75</v>
      </c>
      <c r="AG60" s="301">
        <f>([3]SimonStadt!U9+[3]SimonStadt!V9+[3]SimonStadt!Z9+[3]SimonStadt!AA9)/1000</f>
        <v>0</v>
      </c>
      <c r="AH60" s="221"/>
      <c r="AI60" s="223">
        <f t="shared" si="35"/>
        <v>0</v>
      </c>
      <c r="AJ60" s="221"/>
      <c r="AK60" s="300">
        <f t="shared" ref="AK60:AK67" si="42">AI60-AJ60</f>
        <v>0</v>
      </c>
    </row>
    <row r="61" spans="1:66" x14ac:dyDescent="0.25">
      <c r="B61" s="128" t="s">
        <v>76</v>
      </c>
      <c r="C61" s="129">
        <v>27</v>
      </c>
      <c r="D61" s="129">
        <v>0</v>
      </c>
      <c r="E61" s="129">
        <f>[3]TabellenEE!J41</f>
        <v>0</v>
      </c>
      <c r="F61" s="223">
        <f t="shared" si="28"/>
        <v>11814.51191346807</v>
      </c>
      <c r="G61" s="221"/>
      <c r="H61" s="223">
        <f t="shared" si="29"/>
        <v>0</v>
      </c>
      <c r="I61" s="139">
        <f t="shared" si="36"/>
        <v>0</v>
      </c>
      <c r="J61" s="139">
        <f t="shared" si="30"/>
        <v>0</v>
      </c>
      <c r="K61" s="128" t="s">
        <v>76</v>
      </c>
      <c r="L61" s="299">
        <f t="shared" si="31"/>
        <v>0</v>
      </c>
      <c r="M61" s="221"/>
      <c r="N61" s="223">
        <f t="shared" si="37"/>
        <v>0</v>
      </c>
      <c r="O61" s="221"/>
      <c r="P61" s="300">
        <f t="shared" si="38"/>
        <v>0</v>
      </c>
      <c r="Q61" s="302">
        <f>L61</f>
        <v>0</v>
      </c>
      <c r="R61" s="221"/>
      <c r="S61" s="223">
        <f t="shared" si="32"/>
        <v>0</v>
      </c>
      <c r="T61" s="221"/>
      <c r="U61" s="300">
        <f t="shared" si="39"/>
        <v>0</v>
      </c>
      <c r="V61" s="139">
        <f t="shared" si="33"/>
        <v>0</v>
      </c>
      <c r="W61" s="221"/>
      <c r="X61" s="223">
        <f t="shared" si="34"/>
        <v>0</v>
      </c>
      <c r="Y61" s="221"/>
      <c r="Z61" s="223">
        <f t="shared" ref="Z61" si="43">X61-Y61</f>
        <v>0</v>
      </c>
      <c r="AA61" s="221"/>
      <c r="AB61" s="223">
        <f t="shared" si="40"/>
        <v>0</v>
      </c>
      <c r="AC61" s="221"/>
      <c r="AD61" s="223">
        <f t="shared" si="41"/>
        <v>0</v>
      </c>
      <c r="AE61" s="128" t="s">
        <v>76</v>
      </c>
      <c r="AG61" s="302">
        <f>AB61</f>
        <v>0</v>
      </c>
      <c r="AH61" s="221"/>
      <c r="AI61" s="223">
        <f t="shared" si="35"/>
        <v>0</v>
      </c>
      <c r="AJ61" s="221"/>
      <c r="AK61" s="300">
        <f t="shared" si="42"/>
        <v>0</v>
      </c>
    </row>
    <row r="62" spans="1:66" x14ac:dyDescent="0.25">
      <c r="B62" s="128" t="s">
        <v>77</v>
      </c>
      <c r="C62" s="129">
        <v>69</v>
      </c>
      <c r="D62" s="129">
        <v>57</v>
      </c>
      <c r="E62" s="129">
        <f>[3]TabellenEE!J42</f>
        <v>66</v>
      </c>
      <c r="F62" s="223">
        <f t="shared" si="28"/>
        <v>30192.641556640625</v>
      </c>
      <c r="G62" s="221"/>
      <c r="H62" s="223">
        <f t="shared" si="29"/>
        <v>39541.348387112404</v>
      </c>
      <c r="I62" s="139">
        <f>H62*G64/F64</f>
        <v>37646.089010054886</v>
      </c>
      <c r="J62" s="139">
        <f t="shared" si="30"/>
        <v>39786.260931503544</v>
      </c>
      <c r="K62" s="128" t="s">
        <v>77</v>
      </c>
      <c r="L62" s="299">
        <f t="shared" si="31"/>
        <v>37646.089010054886</v>
      </c>
      <c r="M62" s="221"/>
      <c r="N62" s="223">
        <f t="shared" si="37"/>
        <v>37646.089010054886</v>
      </c>
      <c r="O62" s="303">
        <f>O64*L62/L64</f>
        <v>15562.882954736886</v>
      </c>
      <c r="P62" s="300">
        <f>N62-O62</f>
        <v>22083.206055317998</v>
      </c>
      <c r="Q62" s="301">
        <f>SUM([3]SimonStadt!E13:F14,[3]SimonStadt!J13:K14)/1000</f>
        <v>39786.260931503544</v>
      </c>
      <c r="R62" s="221"/>
      <c r="S62" s="223">
        <f t="shared" si="32"/>
        <v>39786.260931503544</v>
      </c>
      <c r="T62" s="303">
        <f>T64-T63</f>
        <v>19908.763949686829</v>
      </c>
      <c r="U62" s="300">
        <f t="shared" si="39"/>
        <v>19877.496981816716</v>
      </c>
      <c r="V62" s="139">
        <f t="shared" si="33"/>
        <v>39786.260931503544</v>
      </c>
      <c r="W62" s="221"/>
      <c r="X62" s="223">
        <f t="shared" si="34"/>
        <v>39786.260931503544</v>
      </c>
      <c r="Y62" s="139">
        <f>O62</f>
        <v>15562.882954736886</v>
      </c>
      <c r="Z62" s="223">
        <f t="shared" ref="Z62:Z67" si="44">IF($X62&gt;Y62,$X62-Y62,0)</f>
        <v>24223.377976766657</v>
      </c>
      <c r="AA62" s="221"/>
      <c r="AB62" s="223">
        <f t="shared" si="40"/>
        <v>37646.089010054886</v>
      </c>
      <c r="AC62" s="223">
        <f>O62</f>
        <v>15562.882954736886</v>
      </c>
      <c r="AD62" s="223">
        <f t="shared" si="41"/>
        <v>22083.206055317998</v>
      </c>
      <c r="AE62" s="128" t="s">
        <v>77</v>
      </c>
      <c r="AG62" s="301">
        <f>SUM([3]SimonStadt!U13:V14,[3]SimonStadt!Z13:AA14)/1000</f>
        <v>0</v>
      </c>
      <c r="AH62" s="221"/>
      <c r="AI62" s="223">
        <f t="shared" si="35"/>
        <v>0</v>
      </c>
      <c r="AJ62" s="303">
        <f>AJ64-AJ63</f>
        <v>22042.849352079371</v>
      </c>
      <c r="AK62" s="300">
        <f t="shared" si="42"/>
        <v>-22042.849352079371</v>
      </c>
    </row>
    <row r="63" spans="1:66" x14ac:dyDescent="0.25">
      <c r="B63" s="128" t="s">
        <v>78</v>
      </c>
      <c r="C63" s="129">
        <v>0.1</v>
      </c>
      <c r="D63" s="129">
        <v>16</v>
      </c>
      <c r="E63" s="129">
        <f>[3]TabellenEE!J43</f>
        <v>23</v>
      </c>
      <c r="F63" s="223">
        <f t="shared" si="28"/>
        <v>43.757451531363223</v>
      </c>
      <c r="G63" s="221"/>
      <c r="H63" s="223">
        <f t="shared" si="29"/>
        <v>13779.560801569476</v>
      </c>
      <c r="I63" s="139">
        <f>H63*G64/F64</f>
        <v>13119.091624716097</v>
      </c>
      <c r="J63" s="139">
        <f t="shared" si="30"/>
        <v>2134.0854023925413</v>
      </c>
      <c r="K63" s="128" t="s">
        <v>78</v>
      </c>
      <c r="L63" s="299">
        <f t="shared" si="31"/>
        <v>13119.091624716097</v>
      </c>
      <c r="M63" s="221"/>
      <c r="N63" s="223">
        <f t="shared" si="37"/>
        <v>13119.091624716097</v>
      </c>
      <c r="O63" s="303">
        <f>O64-O62</f>
        <v>6479.9663973424849</v>
      </c>
      <c r="P63" s="300">
        <f>N63-O63</f>
        <v>6639.1252273736118</v>
      </c>
      <c r="Q63" s="301">
        <f>([3]SimonStadt!E12+[3]SimonStadt!F12+[3]SimonStadt!J12+[3]SimonStadt!K12)/1000</f>
        <v>2134.0854023925413</v>
      </c>
      <c r="R63" s="221"/>
      <c r="S63" s="223">
        <f t="shared" si="32"/>
        <v>2134.0854023925413</v>
      </c>
      <c r="T63" s="303">
        <f>S63</f>
        <v>2134.0854023925413</v>
      </c>
      <c r="U63" s="300">
        <f t="shared" si="39"/>
        <v>0</v>
      </c>
      <c r="V63" s="139">
        <f t="shared" si="33"/>
        <v>2134.0854023925413</v>
      </c>
      <c r="W63" s="221"/>
      <c r="X63" s="223">
        <f t="shared" si="34"/>
        <v>2134.0854023925413</v>
      </c>
      <c r="Y63" s="139">
        <f>O63</f>
        <v>6479.9663973424849</v>
      </c>
      <c r="Z63" s="223">
        <f t="shared" si="44"/>
        <v>0</v>
      </c>
      <c r="AA63" s="221"/>
      <c r="AB63" s="223">
        <f t="shared" si="40"/>
        <v>13119.091624716097</v>
      </c>
      <c r="AC63" s="223">
        <f>O63</f>
        <v>6479.9663973424849</v>
      </c>
      <c r="AD63" s="223">
        <f t="shared" si="41"/>
        <v>6639.1252273736118</v>
      </c>
      <c r="AE63" s="128" t="s">
        <v>78</v>
      </c>
      <c r="AG63" s="301">
        <f>([3]SimonStadt!U12+[3]SimonStadt!V12+[3]SimonStadt!Z12+[3]SimonStadt!AA12)/1000</f>
        <v>0</v>
      </c>
      <c r="AH63" s="221"/>
      <c r="AI63" s="223">
        <f t="shared" si="35"/>
        <v>0</v>
      </c>
      <c r="AJ63" s="303">
        <f>AI63</f>
        <v>0</v>
      </c>
      <c r="AK63" s="300">
        <f t="shared" si="42"/>
        <v>0</v>
      </c>
    </row>
    <row r="64" spans="1:66" x14ac:dyDescent="0.25">
      <c r="B64" s="60" t="s">
        <v>79</v>
      </c>
      <c r="C64" s="129">
        <f>SUM(C61:C63)</f>
        <v>96.1</v>
      </c>
      <c r="D64" s="129">
        <f t="shared" ref="D64" si="45">SUM(D61:D63)</f>
        <v>73</v>
      </c>
      <c r="E64" s="129">
        <f>SUM(E61:E63)</f>
        <v>89</v>
      </c>
      <c r="F64" s="223">
        <f t="shared" si="28"/>
        <v>42050.910921640054</v>
      </c>
      <c r="G64" s="223">
        <f>[3]EEKorneuburgStreicher!Q27</f>
        <v>40035.365511862772</v>
      </c>
      <c r="H64" s="223">
        <f t="shared" si="29"/>
        <v>53320.909188681879</v>
      </c>
      <c r="I64" s="139">
        <f t="shared" si="36"/>
        <v>53320.909188681879</v>
      </c>
      <c r="J64" s="139">
        <f t="shared" si="30"/>
        <v>41920.346333896086</v>
      </c>
      <c r="K64" s="60" t="s">
        <v>79</v>
      </c>
      <c r="L64" s="299">
        <f t="shared" si="31"/>
        <v>53320.909188681879</v>
      </c>
      <c r="M64" s="221"/>
      <c r="N64" s="223">
        <f t="shared" si="37"/>
        <v>53320.909188681879</v>
      </c>
      <c r="O64" s="304">
        <f>D311</f>
        <v>22042.849352079371</v>
      </c>
      <c r="P64" s="300">
        <f t="shared" si="38"/>
        <v>31278.059836602508</v>
      </c>
      <c r="Q64" s="305">
        <f>SUM(Q62:Q63)</f>
        <v>41920.346333896086</v>
      </c>
      <c r="R64" s="221"/>
      <c r="S64" s="223">
        <f t="shared" si="32"/>
        <v>41920.346333896086</v>
      </c>
      <c r="T64" s="303">
        <f>$O64</f>
        <v>22042.849352079371</v>
      </c>
      <c r="U64" s="300">
        <f t="shared" si="39"/>
        <v>19877.496981816716</v>
      </c>
      <c r="V64" s="139">
        <f t="shared" si="33"/>
        <v>41920.346333896086</v>
      </c>
      <c r="W64" s="221"/>
      <c r="X64" s="223">
        <f t="shared" si="34"/>
        <v>41920.346333896086</v>
      </c>
      <c r="Y64" s="221"/>
      <c r="Z64" s="223">
        <f t="shared" si="44"/>
        <v>41920.346333896086</v>
      </c>
      <c r="AA64" s="221"/>
      <c r="AB64" s="223">
        <f t="shared" si="40"/>
        <v>53320.909188681879</v>
      </c>
      <c r="AC64" s="304">
        <f>O64</f>
        <v>22042.849352079371</v>
      </c>
      <c r="AD64" s="223">
        <f t="shared" si="41"/>
        <v>31278.059836602508</v>
      </c>
      <c r="AE64" s="60" t="s">
        <v>79</v>
      </c>
      <c r="AG64" s="305">
        <f>SUM(AG62:AG63)</f>
        <v>0</v>
      </c>
      <c r="AH64" s="221"/>
      <c r="AI64" s="223">
        <f t="shared" si="35"/>
        <v>0</v>
      </c>
      <c r="AJ64" s="303">
        <f>$O64</f>
        <v>22042.849352079371</v>
      </c>
      <c r="AK64" s="300">
        <f t="shared" si="42"/>
        <v>-22042.849352079371</v>
      </c>
    </row>
    <row r="65" spans="1:66" x14ac:dyDescent="0.25">
      <c r="B65" s="128" t="s">
        <v>80</v>
      </c>
      <c r="C65" s="129">
        <v>0.2</v>
      </c>
      <c r="D65" s="129">
        <v>49</v>
      </c>
      <c r="E65" s="129">
        <f>[3]TabellenEE!J45</f>
        <v>68</v>
      </c>
      <c r="F65" s="223">
        <f t="shared" si="28"/>
        <v>87.514903062726447</v>
      </c>
      <c r="G65" s="223">
        <f>X279</f>
        <v>0</v>
      </c>
      <c r="H65" s="223">
        <f t="shared" si="29"/>
        <v>40739.57106550975</v>
      </c>
      <c r="I65" s="139">
        <f>H65*(G59+G60+G65+G66+G67)/(F59+F60+F65+F66+F67)</f>
        <v>34012.030055534669</v>
      </c>
      <c r="J65" s="139">
        <f t="shared" si="30"/>
        <v>34012.030055534669</v>
      </c>
      <c r="K65" s="128" t="s">
        <v>80</v>
      </c>
      <c r="L65" s="299">
        <f t="shared" si="31"/>
        <v>34012.030055534669</v>
      </c>
      <c r="M65" s="221"/>
      <c r="N65" s="223">
        <f t="shared" si="37"/>
        <v>34012.030055534669</v>
      </c>
      <c r="O65" s="221"/>
      <c r="P65" s="300">
        <f t="shared" si="38"/>
        <v>34012.030055534669</v>
      </c>
      <c r="Q65" s="305">
        <f>L65</f>
        <v>34012.030055534669</v>
      </c>
      <c r="R65" s="221"/>
      <c r="S65" s="223">
        <f t="shared" si="32"/>
        <v>34012.030055534669</v>
      </c>
      <c r="T65" s="221"/>
      <c r="U65" s="300">
        <f t="shared" si="39"/>
        <v>34012.030055534669</v>
      </c>
      <c r="V65" s="139">
        <f t="shared" si="33"/>
        <v>34012.030055534669</v>
      </c>
      <c r="W65" s="221"/>
      <c r="X65" s="223">
        <f t="shared" si="34"/>
        <v>34012.030055534669</v>
      </c>
      <c r="Y65" s="221"/>
      <c r="Z65" s="223">
        <f t="shared" si="44"/>
        <v>34012.030055534669</v>
      </c>
      <c r="AA65" s="221"/>
      <c r="AB65" s="223">
        <f t="shared" si="40"/>
        <v>34012.030055534669</v>
      </c>
      <c r="AC65" s="221"/>
      <c r="AD65" s="223">
        <f t="shared" si="41"/>
        <v>34012.030055534669</v>
      </c>
      <c r="AE65" s="128" t="s">
        <v>80</v>
      </c>
      <c r="AG65" s="305">
        <f>AB65</f>
        <v>34012.030055534669</v>
      </c>
      <c r="AH65" s="221"/>
      <c r="AI65" s="223">
        <f t="shared" si="35"/>
        <v>34012.030055534669</v>
      </c>
      <c r="AJ65" s="221"/>
      <c r="AK65" s="300">
        <f t="shared" si="42"/>
        <v>34012.030055534669</v>
      </c>
    </row>
    <row r="66" spans="1:66" x14ac:dyDescent="0.25">
      <c r="B66" s="128" t="s">
        <v>3</v>
      </c>
      <c r="C66" s="129">
        <v>0.6</v>
      </c>
      <c r="D66" s="129">
        <v>49</v>
      </c>
      <c r="E66" s="129">
        <f>[3]TabellenEE!J46</f>
        <v>69</v>
      </c>
      <c r="F66" s="223">
        <f t="shared" si="28"/>
        <v>262.5447091881793</v>
      </c>
      <c r="G66" s="223">
        <f>X281</f>
        <v>0</v>
      </c>
      <c r="H66" s="223">
        <f t="shared" si="29"/>
        <v>41338.68240470843</v>
      </c>
      <c r="I66" s="139">
        <f>H66*(G59+G60+G65+G66+G67)/(F59+F60+F65+F66+F67)</f>
        <v>34512.206968116072</v>
      </c>
      <c r="J66" s="139">
        <f t="shared" si="30"/>
        <v>0</v>
      </c>
      <c r="K66" s="128" t="s">
        <v>3</v>
      </c>
      <c r="L66" s="299">
        <f t="shared" si="31"/>
        <v>34512.206968116072</v>
      </c>
      <c r="M66" s="221"/>
      <c r="N66" s="223">
        <f t="shared" si="37"/>
        <v>34512.206968116072</v>
      </c>
      <c r="O66" s="221"/>
      <c r="P66" s="300">
        <f t="shared" si="38"/>
        <v>34512.206968116072</v>
      </c>
      <c r="Q66" s="306">
        <v>0</v>
      </c>
      <c r="R66" s="221"/>
      <c r="S66" s="223">
        <f t="shared" si="32"/>
        <v>0</v>
      </c>
      <c r="T66" s="221"/>
      <c r="U66" s="300">
        <f t="shared" si="39"/>
        <v>0</v>
      </c>
      <c r="V66" s="139">
        <f t="shared" si="33"/>
        <v>0</v>
      </c>
      <c r="W66" s="221"/>
      <c r="X66" s="223">
        <f t="shared" si="34"/>
        <v>0</v>
      </c>
      <c r="Y66" s="221"/>
      <c r="Z66" s="223">
        <f t="shared" si="44"/>
        <v>0</v>
      </c>
      <c r="AA66" s="221"/>
      <c r="AB66" s="223">
        <f t="shared" si="40"/>
        <v>34512.206968116072</v>
      </c>
      <c r="AC66" s="221"/>
      <c r="AD66" s="223">
        <f t="shared" si="41"/>
        <v>34512.206968116072</v>
      </c>
      <c r="AE66" s="128" t="s">
        <v>3</v>
      </c>
      <c r="AG66" s="306">
        <v>0</v>
      </c>
      <c r="AH66" s="221"/>
      <c r="AI66" s="223">
        <f t="shared" si="35"/>
        <v>0</v>
      </c>
      <c r="AJ66" s="221"/>
      <c r="AK66" s="300">
        <f t="shared" si="42"/>
        <v>0</v>
      </c>
    </row>
    <row r="67" spans="1:66" x14ac:dyDescent="0.25">
      <c r="B67" s="128" t="s">
        <v>81</v>
      </c>
      <c r="C67" s="129">
        <v>157</v>
      </c>
      <c r="D67" s="129">
        <v>39</v>
      </c>
      <c r="E67" s="129">
        <f>[3]TabellenEE!J47</f>
        <v>13</v>
      </c>
      <c r="F67" s="223">
        <f t="shared" si="28"/>
        <v>68699.198904240257</v>
      </c>
      <c r="G67" s="223">
        <f>[3]EEKorneuburgStreicher!P27</f>
        <v>14569.012671949025</v>
      </c>
      <c r="H67" s="223">
        <f t="shared" si="29"/>
        <v>7788.4474095827463</v>
      </c>
      <c r="I67" s="139">
        <f>H67*(G59+G60+G65+G66+G67)/(F59+F60+F65+F66+F67)</f>
        <v>6502.2998635580998</v>
      </c>
      <c r="J67" s="139">
        <f t="shared" si="30"/>
        <v>418.44466529621081</v>
      </c>
      <c r="K67" s="128" t="s">
        <v>81</v>
      </c>
      <c r="L67" s="299">
        <f t="shared" si="31"/>
        <v>6502.2998635580998</v>
      </c>
      <c r="M67" s="304">
        <f>L67</f>
        <v>6502.2998635580998</v>
      </c>
      <c r="N67" s="223">
        <f t="shared" si="37"/>
        <v>0</v>
      </c>
      <c r="O67" s="221"/>
      <c r="P67" s="300">
        <f t="shared" si="38"/>
        <v>0</v>
      </c>
      <c r="Q67" s="301">
        <f>([3]SimonStadt!E11+[3]SimonStadt!F11+[3]SimonStadt!J11+[3]SimonStadt!K11+[3]SimonStadt!E10+[3]SimonStadt!F10+[3]SimonStadt!J10+[3]SimonStadt!K10)/1000</f>
        <v>418.44466529621081</v>
      </c>
      <c r="R67" s="223">
        <f>Q67</f>
        <v>418.44466529621081</v>
      </c>
      <c r="S67" s="223">
        <f t="shared" si="32"/>
        <v>0</v>
      </c>
      <c r="T67" s="221"/>
      <c r="U67" s="300">
        <f t="shared" si="39"/>
        <v>0</v>
      </c>
      <c r="V67" s="139">
        <f t="shared" si="33"/>
        <v>418.44466529621081</v>
      </c>
      <c r="W67" s="223">
        <f>V67</f>
        <v>418.44466529621081</v>
      </c>
      <c r="X67" s="223">
        <f t="shared" si="34"/>
        <v>0</v>
      </c>
      <c r="Y67" s="221"/>
      <c r="Z67" s="223">
        <f t="shared" si="44"/>
        <v>0</v>
      </c>
      <c r="AA67" s="223">
        <f>L67</f>
        <v>6502.2998635580998</v>
      </c>
      <c r="AB67" s="223">
        <f t="shared" si="40"/>
        <v>0</v>
      </c>
      <c r="AC67" s="221"/>
      <c r="AD67" s="223">
        <f t="shared" si="41"/>
        <v>0</v>
      </c>
      <c r="AE67" s="128" t="s">
        <v>81</v>
      </c>
      <c r="AG67" s="301">
        <f>([3]SimonStadt!U11+[3]SimonStadt!V11+[3]SimonStadt!Z11+[3]SimonStadt!AA11+[3]SimonStadt!U10+[3]SimonStadt!V10+[3]SimonStadt!Z10+[3]SimonStadt!AA10)/1000</f>
        <v>0</v>
      </c>
      <c r="AH67" s="223">
        <f>AG67</f>
        <v>0</v>
      </c>
      <c r="AI67" s="223">
        <f t="shared" si="35"/>
        <v>0</v>
      </c>
      <c r="AJ67" s="221"/>
      <c r="AK67" s="300">
        <f t="shared" si="42"/>
        <v>0</v>
      </c>
    </row>
    <row r="68" spans="1:66" x14ac:dyDescent="0.25">
      <c r="B68" s="61" t="s">
        <v>13</v>
      </c>
      <c r="C68" s="131">
        <f>SUM(C64:C67)+C59+C60</f>
        <v>421.9</v>
      </c>
      <c r="D68" s="131">
        <f>SUM(D64:D67)</f>
        <v>210</v>
      </c>
      <c r="E68" s="131">
        <f>SUM(E64:E67)</f>
        <v>239</v>
      </c>
      <c r="F68" s="139">
        <f>SUM(F59:F67)-F64</f>
        <v>184612.68801082141</v>
      </c>
      <c r="G68" s="139">
        <f>SUM(G59:G67)</f>
        <v>159055.16175200269</v>
      </c>
      <c r="H68" s="139">
        <f>SUM(H59:H67)-H64</f>
        <v>143187.61006848281</v>
      </c>
      <c r="I68" s="139">
        <f>SUM(I59:I67)-I64</f>
        <v>125791.71752197981</v>
      </c>
      <c r="J68" s="139">
        <f t="shared" si="30"/>
        <v>80924.598169202465</v>
      </c>
      <c r="K68" s="61" t="s">
        <v>13</v>
      </c>
      <c r="L68" s="299">
        <f>SUM(L59:L67)-L64</f>
        <v>125791.71752197981</v>
      </c>
      <c r="M68" s="139">
        <f t="shared" ref="M68:AC68" si="46">SUM(M59:M67)-M64</f>
        <v>6502.2998635580998</v>
      </c>
      <c r="N68" s="139">
        <f t="shared" si="46"/>
        <v>119289.41765842172</v>
      </c>
      <c r="O68" s="139">
        <f t="shared" si="46"/>
        <v>22042.849352079371</v>
      </c>
      <c r="P68" s="307">
        <f t="shared" si="46"/>
        <v>97246.568306342349</v>
      </c>
      <c r="Q68" s="299">
        <f>SUM(Q59:Q67)-Q64</f>
        <v>80924.598169202465</v>
      </c>
      <c r="R68" s="139">
        <f>SUM(R59:R67)-R64</f>
        <v>418.44466529621081</v>
      </c>
      <c r="S68" s="139">
        <f>SUM(S59:S67)-S64</f>
        <v>80506.153503906258</v>
      </c>
      <c r="T68" s="139">
        <f>SUM(T59:T67)-T64</f>
        <v>22042.849352079371</v>
      </c>
      <c r="U68" s="307">
        <f>SUM(U59:U67)-U64</f>
        <v>58463.304151826887</v>
      </c>
      <c r="V68" s="139">
        <f t="shared" ref="V68:Z68" si="47">SUM(V59:V67)-V64</f>
        <v>80924.598169202465</v>
      </c>
      <c r="W68" s="139">
        <f t="shared" si="47"/>
        <v>418.44466529621081</v>
      </c>
      <c r="X68" s="139">
        <f t="shared" si="47"/>
        <v>80506.153503906258</v>
      </c>
      <c r="Y68" s="139">
        <f t="shared" si="47"/>
        <v>22042.849352079371</v>
      </c>
      <c r="Z68" s="139">
        <f t="shared" si="47"/>
        <v>62809.185146776828</v>
      </c>
      <c r="AA68" s="139">
        <f t="shared" si="46"/>
        <v>6502.2998635580998</v>
      </c>
      <c r="AB68" s="139">
        <f t="shared" si="46"/>
        <v>119289.41765842172</v>
      </c>
      <c r="AC68" s="139">
        <f t="shared" si="46"/>
        <v>22042.849352079371</v>
      </c>
      <c r="AD68" s="139">
        <f>SUM(AD59:AD67)-AD64</f>
        <v>97246.568306342349</v>
      </c>
      <c r="AE68" s="61" t="s">
        <v>13</v>
      </c>
      <c r="AG68" s="299">
        <f>SUM(AG59:AG67)-AG64</f>
        <v>34012.030055534669</v>
      </c>
      <c r="AH68" s="139">
        <f>SUM(AH59:AH67)-AH64</f>
        <v>0</v>
      </c>
      <c r="AI68" s="139">
        <f>SUM(AI59:AI67)-AI64</f>
        <v>34012.030055534669</v>
      </c>
      <c r="AJ68" s="139">
        <f>SUM(AJ59:AJ67)-AJ64</f>
        <v>22042.849352079371</v>
      </c>
      <c r="AK68" s="307">
        <f>SUM(AK59:AK67)-AK64</f>
        <v>11969.180703455298</v>
      </c>
    </row>
    <row r="69" spans="1:66" ht="18.75" x14ac:dyDescent="0.3">
      <c r="A69" s="294"/>
      <c r="B69" s="295" t="s">
        <v>82</v>
      </c>
      <c r="C69" s="129"/>
      <c r="D69" s="129"/>
      <c r="E69" s="132"/>
      <c r="F69" s="223"/>
      <c r="G69" s="221"/>
      <c r="H69" s="221"/>
      <c r="I69" s="230"/>
      <c r="J69" s="230"/>
      <c r="K69" s="295" t="s">
        <v>82</v>
      </c>
      <c r="L69" s="308"/>
      <c r="M69" s="221"/>
      <c r="N69" s="221"/>
      <c r="O69" s="221"/>
      <c r="P69" s="309"/>
      <c r="Q69" s="308"/>
      <c r="R69" s="221"/>
      <c r="S69" s="221"/>
      <c r="T69" s="221"/>
      <c r="U69" s="309"/>
      <c r="V69" s="230"/>
      <c r="W69" s="221"/>
      <c r="X69" s="221"/>
      <c r="Y69" s="221"/>
      <c r="Z69" s="221"/>
      <c r="AA69" s="221"/>
      <c r="AB69" s="221"/>
      <c r="AC69" s="221"/>
      <c r="AD69" s="221"/>
      <c r="AE69" s="295" t="s">
        <v>82</v>
      </c>
      <c r="AF69" s="294"/>
      <c r="AG69" s="308"/>
      <c r="AH69" s="221"/>
      <c r="AI69" s="221"/>
      <c r="AJ69" s="221"/>
      <c r="AK69" s="309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  <c r="BJ69" s="294"/>
      <c r="BK69" s="294"/>
      <c r="BL69" s="294"/>
      <c r="BM69" s="294"/>
      <c r="BN69" s="294"/>
    </row>
    <row r="70" spans="1:66" x14ac:dyDescent="0.25">
      <c r="B70" s="128" t="s">
        <v>14</v>
      </c>
      <c r="C70" s="129">
        <v>10</v>
      </c>
      <c r="D70" s="129">
        <v>17</v>
      </c>
      <c r="E70" s="310">
        <f>[3]TabellenEE!J50</f>
        <v>15</v>
      </c>
      <c r="F70" s="223">
        <f>C70*1000000/3.6*$M$15</f>
        <v>4375.7451531363213</v>
      </c>
      <c r="G70" s="223">
        <f>F70</f>
        <v>4375.7451531363213</v>
      </c>
      <c r="H70" s="223">
        <f>E70*1000000/3.6*$M$11</f>
        <v>8986.6700879800919</v>
      </c>
      <c r="I70" s="139">
        <f>H70</f>
        <v>8986.6700879800919</v>
      </c>
      <c r="J70" s="139">
        <f>Q70</f>
        <v>8986.6700879800919</v>
      </c>
      <c r="K70" s="128" t="s">
        <v>14</v>
      </c>
      <c r="L70" s="299">
        <f>I70</f>
        <v>8986.6700879800919</v>
      </c>
      <c r="M70" s="223">
        <f>L70</f>
        <v>8986.6700879800919</v>
      </c>
      <c r="N70" s="223">
        <f>$I70-M70</f>
        <v>0</v>
      </c>
      <c r="O70" s="221"/>
      <c r="P70" s="300">
        <f t="shared" ref="P70:P72" si="48">N70-O70</f>
        <v>0</v>
      </c>
      <c r="Q70" s="302">
        <f>L70</f>
        <v>8986.6700879800919</v>
      </c>
      <c r="R70" s="302">
        <f t="shared" ref="R70:R71" si="49">Q70</f>
        <v>8986.6700879800919</v>
      </c>
      <c r="S70" s="223">
        <f>$I70-R70</f>
        <v>0</v>
      </c>
      <c r="T70" s="221"/>
      <c r="U70" s="300">
        <f t="shared" ref="U70:U72" si="50">S70-T70</f>
        <v>0</v>
      </c>
      <c r="V70" s="139">
        <f>Q70</f>
        <v>8986.6700879800919</v>
      </c>
      <c r="W70" s="223">
        <f>$I70*$P140</f>
        <v>8986.6700879800919</v>
      </c>
      <c r="X70" s="223">
        <f>$I70-W70</f>
        <v>0</v>
      </c>
      <c r="Y70" s="221"/>
      <c r="Z70" s="223">
        <f t="shared" ref="Z70:Z72" si="51">X70-Y70</f>
        <v>0</v>
      </c>
      <c r="AA70" s="223">
        <f>$I70*$P141</f>
        <v>8986.6700879800919</v>
      </c>
      <c r="AB70" s="223">
        <f>$I70-AA70</f>
        <v>0</v>
      </c>
      <c r="AC70" s="221"/>
      <c r="AD70" s="223">
        <f t="shared" ref="AD70:AD72" si="52">AB70-AC70</f>
        <v>0</v>
      </c>
      <c r="AE70" s="128" t="s">
        <v>14</v>
      </c>
      <c r="AG70" s="302">
        <f>AB70</f>
        <v>0</v>
      </c>
      <c r="AH70" s="223">
        <f t="shared" ref="AH70:AH71" si="53">AG70</f>
        <v>0</v>
      </c>
      <c r="AI70" s="223">
        <f>$I70-AH70</f>
        <v>8986.6700879800919</v>
      </c>
      <c r="AJ70" s="221"/>
      <c r="AK70" s="300">
        <f t="shared" ref="AK70:AK72" si="54">AI70-AJ70</f>
        <v>8986.6700879800919</v>
      </c>
    </row>
    <row r="71" spans="1:66" x14ac:dyDescent="0.25">
      <c r="B71" s="128" t="s">
        <v>30</v>
      </c>
      <c r="C71" s="129">
        <v>288</v>
      </c>
      <c r="D71" s="129">
        <v>38</v>
      </c>
      <c r="E71" s="310">
        <f>[3]TabellenEE!J51</f>
        <v>40</v>
      </c>
      <c r="F71" s="223">
        <f>C71*1000000/3.6*$M$15</f>
        <v>126021.46041032608</v>
      </c>
      <c r="G71" s="223">
        <f>F71</f>
        <v>126021.46041032608</v>
      </c>
      <c r="H71" s="223">
        <f>E71*1000000/3.6*$M$11</f>
        <v>23964.453567946912</v>
      </c>
      <c r="I71" s="139">
        <f>H71</f>
        <v>23964.453567946912</v>
      </c>
      <c r="J71" s="139">
        <f>Q71</f>
        <v>23964.453567946912</v>
      </c>
      <c r="K71" s="128" t="s">
        <v>30</v>
      </c>
      <c r="L71" s="299">
        <f>I71</f>
        <v>23964.453567946912</v>
      </c>
      <c r="M71" s="223">
        <f>L71</f>
        <v>23964.453567946912</v>
      </c>
      <c r="N71" s="223">
        <f>$I71-M71</f>
        <v>0</v>
      </c>
      <c r="O71" s="221"/>
      <c r="P71" s="300">
        <f t="shared" si="48"/>
        <v>0</v>
      </c>
      <c r="Q71" s="302">
        <f>L71</f>
        <v>23964.453567946912</v>
      </c>
      <c r="R71" s="302">
        <f t="shared" si="49"/>
        <v>23964.453567946912</v>
      </c>
      <c r="S71" s="223">
        <f>$I71-R71</f>
        <v>0</v>
      </c>
      <c r="T71" s="221"/>
      <c r="U71" s="300">
        <f t="shared" si="50"/>
        <v>0</v>
      </c>
      <c r="V71" s="139">
        <f>Q71</f>
        <v>23964.453567946912</v>
      </c>
      <c r="W71" s="223">
        <f>$I71*$O140</f>
        <v>23964.453567946912</v>
      </c>
      <c r="X71" s="223">
        <f>$I71-W71</f>
        <v>0</v>
      </c>
      <c r="Y71" s="221"/>
      <c r="Z71" s="223">
        <f t="shared" si="51"/>
        <v>0</v>
      </c>
      <c r="AA71" s="223">
        <f>$I71*$O141</f>
        <v>23964.453567946912</v>
      </c>
      <c r="AB71" s="223">
        <f>$I71-AA71</f>
        <v>0</v>
      </c>
      <c r="AC71" s="221"/>
      <c r="AD71" s="223">
        <f t="shared" si="52"/>
        <v>0</v>
      </c>
      <c r="AE71" s="128" t="s">
        <v>30</v>
      </c>
      <c r="AG71" s="302">
        <f>AB71</f>
        <v>0</v>
      </c>
      <c r="AH71" s="223">
        <f t="shared" si="53"/>
        <v>0</v>
      </c>
      <c r="AI71" s="223">
        <f>$I71-AH71</f>
        <v>23964.453567946912</v>
      </c>
      <c r="AJ71" s="221"/>
      <c r="AK71" s="300">
        <f t="shared" si="54"/>
        <v>23964.453567946912</v>
      </c>
    </row>
    <row r="72" spans="1:66" x14ac:dyDescent="0.25">
      <c r="B72" s="128" t="s">
        <v>159</v>
      </c>
      <c r="C72" s="129">
        <v>7</v>
      </c>
      <c r="D72" s="129">
        <v>30</v>
      </c>
      <c r="E72" s="310">
        <f>[3]TabellenEE!J52</f>
        <v>82</v>
      </c>
      <c r="F72" s="223">
        <f>C72*1000000/3.6*$M$15</f>
        <v>3063.0216071954255</v>
      </c>
      <c r="G72" s="223">
        <f>F72</f>
        <v>3063.0216071954255</v>
      </c>
      <c r="H72" s="223">
        <f>E72*1000000/3.6*$M$11</f>
        <v>49127.129814291169</v>
      </c>
      <c r="I72" s="139">
        <f>H72</f>
        <v>49127.129814291169</v>
      </c>
      <c r="J72" s="139">
        <f>Q72</f>
        <v>49127.129814291169</v>
      </c>
      <c r="K72" s="128" t="s">
        <v>159</v>
      </c>
      <c r="L72" s="299">
        <f>I72</f>
        <v>49127.129814291169</v>
      </c>
      <c r="M72" s="303">
        <f>L72-N72</f>
        <v>39075.571872443776</v>
      </c>
      <c r="N72" s="303">
        <f>D321</f>
        <v>10051.557941847392</v>
      </c>
      <c r="O72" s="221"/>
      <c r="P72" s="300">
        <f t="shared" si="48"/>
        <v>10051.557941847392</v>
      </c>
      <c r="Q72" s="302">
        <f>L72</f>
        <v>49127.129814291169</v>
      </c>
      <c r="R72" s="303">
        <f>Q72-S72</f>
        <v>39075.571872443776</v>
      </c>
      <c r="S72" s="223">
        <f>N72</f>
        <v>10051.557941847392</v>
      </c>
      <c r="T72" s="221"/>
      <c r="U72" s="300">
        <f t="shared" si="50"/>
        <v>10051.557941847392</v>
      </c>
      <c r="V72" s="139">
        <f>Q72</f>
        <v>49127.129814291169</v>
      </c>
      <c r="W72" s="303">
        <f>V72-X72</f>
        <v>39075.571872443776</v>
      </c>
      <c r="X72" s="223">
        <f>N72</f>
        <v>10051.557941847392</v>
      </c>
      <c r="Y72" s="221"/>
      <c r="Z72" s="223">
        <f t="shared" si="51"/>
        <v>10051.557941847392</v>
      </c>
      <c r="AA72" s="223">
        <f>M72</f>
        <v>39075.571872443776</v>
      </c>
      <c r="AB72" s="223">
        <f>$I72-AA72</f>
        <v>10051.557941847394</v>
      </c>
      <c r="AC72" s="221"/>
      <c r="AD72" s="223">
        <f t="shared" si="52"/>
        <v>10051.557941847394</v>
      </c>
      <c r="AE72" s="128" t="s">
        <v>159</v>
      </c>
      <c r="AG72" s="302">
        <f>AB72</f>
        <v>10051.557941847394</v>
      </c>
      <c r="AH72" s="303">
        <f>AG72-AI72</f>
        <v>0</v>
      </c>
      <c r="AI72" s="223">
        <f>AD72</f>
        <v>10051.557941847394</v>
      </c>
      <c r="AJ72" s="221"/>
      <c r="AK72" s="300">
        <f t="shared" si="54"/>
        <v>10051.557941847394</v>
      </c>
    </row>
    <row r="73" spans="1:66" x14ac:dyDescent="0.25">
      <c r="B73" s="61" t="s">
        <v>13</v>
      </c>
      <c r="C73" s="131">
        <f>SUM(C70:C72)</f>
        <v>305</v>
      </c>
      <c r="D73" s="131">
        <f>SUM(D70:D72)</f>
        <v>85</v>
      </c>
      <c r="E73" s="311">
        <f>SUM(E70:E72)</f>
        <v>137</v>
      </c>
      <c r="F73" s="139">
        <f>SUM(F70:F72)</f>
        <v>133460.22717065783</v>
      </c>
      <c r="G73" s="139">
        <f>F73</f>
        <v>133460.22717065783</v>
      </c>
      <c r="H73" s="139">
        <f>E73*1000000/3.6*$M$11</f>
        <v>82078.253470218173</v>
      </c>
      <c r="I73" s="139">
        <f>SUM(I70:I72)</f>
        <v>82078.253470218173</v>
      </c>
      <c r="J73" s="139">
        <f>Q73</f>
        <v>82078.253470218173</v>
      </c>
      <c r="K73" s="61" t="s">
        <v>13</v>
      </c>
      <c r="L73" s="299">
        <f>I73</f>
        <v>82078.253470218173</v>
      </c>
      <c r="M73" s="139">
        <f>SUM(M70:M72)</f>
        <v>72026.695528370779</v>
      </c>
      <c r="N73" s="139">
        <f>SUM(N70:N72)</f>
        <v>10051.557941847392</v>
      </c>
      <c r="O73" s="221"/>
      <c r="P73" s="307">
        <f>SUM(P70:P72)</f>
        <v>10051.557941847392</v>
      </c>
      <c r="Q73" s="305">
        <f>SUM(Q70:Q72)</f>
        <v>82078.253470218173</v>
      </c>
      <c r="R73" s="139">
        <f>SUM(R70:R72)</f>
        <v>72026.695528370779</v>
      </c>
      <c r="S73" s="139">
        <f>SUM(S70:S72)</f>
        <v>10051.557941847392</v>
      </c>
      <c r="T73" s="221"/>
      <c r="U73" s="307">
        <f>SUM(U70:U72)</f>
        <v>10051.557941847392</v>
      </c>
      <c r="V73" s="139">
        <f>SUM(V70:V72)</f>
        <v>82078.253470218173</v>
      </c>
      <c r="W73" s="139">
        <f>SUM(W70:W72)</f>
        <v>72026.695528370779</v>
      </c>
      <c r="X73" s="139">
        <f>SUM(X70:X72)</f>
        <v>10051.557941847392</v>
      </c>
      <c r="Y73" s="221"/>
      <c r="Z73" s="139">
        <f>SUM(Z70:Z72)</f>
        <v>10051.557941847392</v>
      </c>
      <c r="AA73" s="139">
        <f>SUM(AA70:AA72)</f>
        <v>72026.695528370779</v>
      </c>
      <c r="AB73" s="139">
        <f>SUM(AB70:AB72)</f>
        <v>10051.557941847394</v>
      </c>
      <c r="AC73" s="221"/>
      <c r="AD73" s="139">
        <f>SUM(AD70:AD72)</f>
        <v>10051.557941847394</v>
      </c>
      <c r="AE73" s="61" t="s">
        <v>13</v>
      </c>
      <c r="AG73" s="305">
        <f>SUM(AG70:AG72)</f>
        <v>10051.557941847394</v>
      </c>
      <c r="AH73" s="139">
        <f>SUM(AH70:AH72)</f>
        <v>0</v>
      </c>
      <c r="AI73" s="139">
        <f>SUM(AI70:AI72)</f>
        <v>43002.681597774397</v>
      </c>
      <c r="AJ73" s="221"/>
      <c r="AK73" s="307">
        <f>SUM(AK70:AK72)</f>
        <v>43002.681597774397</v>
      </c>
    </row>
    <row r="74" spans="1:66" ht="18.75" x14ac:dyDescent="0.3">
      <c r="A74" s="294"/>
      <c r="B74" s="295" t="s">
        <v>84</v>
      </c>
      <c r="C74" s="129"/>
      <c r="D74" s="129"/>
      <c r="E74" s="132"/>
      <c r="F74" s="223"/>
      <c r="G74" s="230"/>
      <c r="H74" s="222"/>
      <c r="I74" s="230"/>
      <c r="J74" s="230"/>
      <c r="K74" s="295" t="s">
        <v>84</v>
      </c>
      <c r="L74" s="308"/>
      <c r="M74" s="221"/>
      <c r="N74" s="126"/>
      <c r="O74" s="221"/>
      <c r="P74" s="309"/>
      <c r="Q74" s="308" t="s">
        <v>472</v>
      </c>
      <c r="R74" s="221"/>
      <c r="S74" s="126"/>
      <c r="T74" s="221"/>
      <c r="U74" s="309"/>
      <c r="V74" s="230" t="s">
        <v>472</v>
      </c>
      <c r="W74" s="221"/>
      <c r="X74" s="126"/>
      <c r="Y74" s="221"/>
      <c r="Z74" s="221"/>
      <c r="AA74" s="221"/>
      <c r="AB74" s="126"/>
      <c r="AC74" s="221"/>
      <c r="AD74" s="221"/>
      <c r="AE74" s="295" t="s">
        <v>84</v>
      </c>
      <c r="AF74" s="294"/>
      <c r="AG74" s="308" t="s">
        <v>472</v>
      </c>
      <c r="AH74" s="221"/>
      <c r="AI74" s="126"/>
      <c r="AJ74" s="221"/>
      <c r="AK74" s="309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  <c r="BJ74" s="294"/>
      <c r="BK74" s="294"/>
      <c r="BL74" s="294"/>
      <c r="BM74" s="294"/>
      <c r="BN74" s="294"/>
    </row>
    <row r="75" spans="1:66" x14ac:dyDescent="0.25">
      <c r="B75" s="128" t="s">
        <v>30</v>
      </c>
      <c r="C75" s="129">
        <v>18</v>
      </c>
      <c r="D75" s="129">
        <v>0</v>
      </c>
      <c r="E75" s="129">
        <f>[3]TabellenEE!J55</f>
        <v>0</v>
      </c>
      <c r="F75" s="223">
        <f t="shared" ref="F75:F83" si="55">C75*1000000/3.6*M$11</f>
        <v>10784.00410557611</v>
      </c>
      <c r="G75" s="223">
        <v>0</v>
      </c>
      <c r="H75" s="223">
        <f t="shared" ref="H75:H83" si="56">E75*1000000/3.6*M$11</f>
        <v>0</v>
      </c>
      <c r="I75" s="139">
        <v>0</v>
      </c>
      <c r="J75" s="139">
        <f t="shared" ref="J75:J84" si="57">Q75</f>
        <v>0</v>
      </c>
      <c r="K75" s="128" t="s">
        <v>30</v>
      </c>
      <c r="L75" s="299">
        <f t="shared" ref="L75:L84" si="58">I75</f>
        <v>0</v>
      </c>
      <c r="M75" s="223">
        <f>L75</f>
        <v>0</v>
      </c>
      <c r="N75" s="223">
        <f t="shared" ref="N75:N81" si="59">$I75-M75</f>
        <v>0</v>
      </c>
      <c r="O75" s="221"/>
      <c r="P75" s="300">
        <f t="shared" ref="P75:P83" si="60">N75-O75</f>
        <v>0</v>
      </c>
      <c r="Q75" s="302">
        <f t="shared" ref="Q75:Q83" si="61">L75</f>
        <v>0</v>
      </c>
      <c r="R75" s="223">
        <f t="shared" ref="R75:R83" si="62">AA75</f>
        <v>0</v>
      </c>
      <c r="S75" s="223">
        <f t="shared" ref="S75:S81" si="63">IF($Q75&gt;R75,$Q75-R75,0)</f>
        <v>0</v>
      </c>
      <c r="T75" s="221"/>
      <c r="U75" s="300">
        <f t="shared" ref="U75:U83" si="64">S75-T75</f>
        <v>0</v>
      </c>
      <c r="V75" s="139">
        <f>L75</f>
        <v>0</v>
      </c>
      <c r="W75" s="223">
        <f>M75</f>
        <v>0</v>
      </c>
      <c r="X75" s="223">
        <f t="shared" ref="X75:X81" si="65">IF($Q75&gt;W75,$Q75-W75,0)</f>
        <v>0</v>
      </c>
      <c r="Y75" s="221"/>
      <c r="Z75" s="223">
        <f t="shared" ref="Z75:Z83" si="66">X75-Y75</f>
        <v>0</v>
      </c>
      <c r="AA75" s="223">
        <f>N75</f>
        <v>0</v>
      </c>
      <c r="AB75" s="223">
        <f t="shared" ref="AB75:AB81" si="67">$I75-AA75</f>
        <v>0</v>
      </c>
      <c r="AC75" s="221"/>
      <c r="AD75" s="223">
        <f t="shared" ref="AD75:AD83" si="68">AB75-AC75</f>
        <v>0</v>
      </c>
      <c r="AE75" s="128" t="s">
        <v>30</v>
      </c>
      <c r="AG75" s="302">
        <f t="shared" ref="AG75:AG83" si="69">AB75</f>
        <v>0</v>
      </c>
      <c r="AH75" s="223">
        <f t="shared" ref="AH75:AH83" si="70">AQ75</f>
        <v>0</v>
      </c>
      <c r="AI75" s="223">
        <f t="shared" ref="AI75:AI81" si="71">IF($Q75&gt;AH75,$Q75-AH75,0)</f>
        <v>0</v>
      </c>
      <c r="AJ75" s="221"/>
      <c r="AK75" s="300">
        <f t="shared" ref="AK75:AK83" si="72">AI75-AJ75</f>
        <v>0</v>
      </c>
    </row>
    <row r="76" spans="1:66" x14ac:dyDescent="0.25">
      <c r="B76" s="128" t="s">
        <v>32</v>
      </c>
      <c r="C76" s="129">
        <v>65</v>
      </c>
      <c r="D76" s="129">
        <v>57</v>
      </c>
      <c r="E76" s="129">
        <f>[3]TabellenEE!J56</f>
        <v>86</v>
      </c>
      <c r="F76" s="223">
        <f t="shared" si="55"/>
        <v>38942.237047913732</v>
      </c>
      <c r="G76" s="223">
        <f>[3]EEKorneuburgStreicher!O24*0.5</f>
        <v>22826.45646190456</v>
      </c>
      <c r="H76" s="223">
        <f t="shared" si="56"/>
        <v>51523.57517108586</v>
      </c>
      <c r="I76" s="139">
        <f>I$82*E76/E$82</f>
        <v>20194.045667441253</v>
      </c>
      <c r="J76" s="139">
        <f t="shared" si="57"/>
        <v>20194.045667441253</v>
      </c>
      <c r="K76" s="128" t="s">
        <v>32</v>
      </c>
      <c r="L76" s="299">
        <f t="shared" si="58"/>
        <v>20194.045667441253</v>
      </c>
      <c r="M76" s="303">
        <v>0</v>
      </c>
      <c r="N76" s="223">
        <f t="shared" si="59"/>
        <v>20194.045667441253</v>
      </c>
      <c r="O76" s="221"/>
      <c r="P76" s="300">
        <f t="shared" si="60"/>
        <v>20194.045667441253</v>
      </c>
      <c r="Q76" s="302">
        <f t="shared" si="61"/>
        <v>20194.045667441253</v>
      </c>
      <c r="R76" s="223">
        <f t="shared" si="62"/>
        <v>0</v>
      </c>
      <c r="S76" s="223">
        <f t="shared" si="63"/>
        <v>20194.045667441253</v>
      </c>
      <c r="T76" s="221"/>
      <c r="U76" s="300">
        <f t="shared" si="64"/>
        <v>20194.045667441253</v>
      </c>
      <c r="V76" s="139">
        <f>F76</f>
        <v>38942.237047913732</v>
      </c>
      <c r="W76" s="303">
        <f>M76</f>
        <v>0</v>
      </c>
      <c r="X76" s="223">
        <f t="shared" si="65"/>
        <v>20194.045667441253</v>
      </c>
      <c r="Y76" s="221"/>
      <c r="Z76" s="223">
        <f t="shared" si="66"/>
        <v>20194.045667441253</v>
      </c>
      <c r="AA76" s="223">
        <f t="shared" ref="AA76:AA83" si="73">M76</f>
        <v>0</v>
      </c>
      <c r="AB76" s="223">
        <f t="shared" si="67"/>
        <v>20194.045667441253</v>
      </c>
      <c r="AC76" s="221"/>
      <c r="AD76" s="223">
        <f>AB76-R735</f>
        <v>20194.045667441253</v>
      </c>
      <c r="AE76" s="128" t="s">
        <v>32</v>
      </c>
      <c r="AG76" s="302">
        <f t="shared" si="69"/>
        <v>20194.045667441253</v>
      </c>
      <c r="AH76" s="223">
        <f t="shared" si="70"/>
        <v>0</v>
      </c>
      <c r="AI76" s="223">
        <f t="shared" si="71"/>
        <v>20194.045667441253</v>
      </c>
      <c r="AJ76" s="221"/>
      <c r="AK76" s="300">
        <f t="shared" si="72"/>
        <v>20194.045667441253</v>
      </c>
    </row>
    <row r="77" spans="1:66" x14ac:dyDescent="0.25">
      <c r="B77" s="128" t="s">
        <v>85</v>
      </c>
      <c r="C77" s="129">
        <v>0</v>
      </c>
      <c r="D77" s="129">
        <v>25</v>
      </c>
      <c r="E77" s="129">
        <f>[3]TabellenEE!J57</f>
        <v>25</v>
      </c>
      <c r="F77" s="223">
        <f t="shared" si="55"/>
        <v>0</v>
      </c>
      <c r="G77" s="312">
        <v>0</v>
      </c>
      <c r="H77" s="223">
        <f t="shared" si="56"/>
        <v>14977.78347996682</v>
      </c>
      <c r="I77" s="139">
        <f>I$82*E77/E$82</f>
        <v>5870.3621126282724</v>
      </c>
      <c r="J77" s="139">
        <f t="shared" si="57"/>
        <v>5870.3621126282724</v>
      </c>
      <c r="K77" s="128" t="s">
        <v>85</v>
      </c>
      <c r="L77" s="299">
        <f t="shared" si="58"/>
        <v>5870.3621126282724</v>
      </c>
      <c r="M77" s="223">
        <f>L77*C292</f>
        <v>5870.3621126282724</v>
      </c>
      <c r="N77" s="223">
        <f t="shared" si="59"/>
        <v>0</v>
      </c>
      <c r="O77" s="221"/>
      <c r="P77" s="300">
        <f t="shared" si="60"/>
        <v>0</v>
      </c>
      <c r="Q77" s="302">
        <f t="shared" si="61"/>
        <v>5870.3621126282724</v>
      </c>
      <c r="R77" s="223">
        <f t="shared" si="62"/>
        <v>5870.3621126282724</v>
      </c>
      <c r="S77" s="223">
        <f t="shared" si="63"/>
        <v>0</v>
      </c>
      <c r="T77" s="221"/>
      <c r="U77" s="300">
        <f t="shared" si="64"/>
        <v>0</v>
      </c>
      <c r="V77" s="139">
        <f t="shared" ref="V77:V83" si="74">L77</f>
        <v>5870.3621126282724</v>
      </c>
      <c r="W77" s="223">
        <f>M77</f>
        <v>5870.3621126282724</v>
      </c>
      <c r="X77" s="223">
        <f t="shared" si="65"/>
        <v>0</v>
      </c>
      <c r="Y77" s="221"/>
      <c r="Z77" s="223">
        <f t="shared" si="66"/>
        <v>0</v>
      </c>
      <c r="AA77" s="223">
        <f t="shared" si="73"/>
        <v>5870.3621126282724</v>
      </c>
      <c r="AB77" s="223">
        <f t="shared" si="67"/>
        <v>0</v>
      </c>
      <c r="AC77" s="221"/>
      <c r="AD77" s="223">
        <f t="shared" si="68"/>
        <v>0</v>
      </c>
      <c r="AE77" s="128" t="s">
        <v>85</v>
      </c>
      <c r="AG77" s="302">
        <f t="shared" si="69"/>
        <v>0</v>
      </c>
      <c r="AH77" s="223">
        <f t="shared" si="70"/>
        <v>0</v>
      </c>
      <c r="AI77" s="223">
        <f t="shared" si="71"/>
        <v>5870.3621126282724</v>
      </c>
      <c r="AJ77" s="221"/>
      <c r="AK77" s="300">
        <f t="shared" si="72"/>
        <v>5870.3621126282724</v>
      </c>
    </row>
    <row r="78" spans="1:66" x14ac:dyDescent="0.25">
      <c r="B78" s="128" t="s">
        <v>86</v>
      </c>
      <c r="C78" s="129">
        <v>0</v>
      </c>
      <c r="D78" s="129">
        <v>22</v>
      </c>
      <c r="E78" s="129">
        <f>[3]TabellenEE!J58</f>
        <v>46</v>
      </c>
      <c r="F78" s="223">
        <f t="shared" si="55"/>
        <v>0</v>
      </c>
      <c r="G78" s="312">
        <v>0</v>
      </c>
      <c r="H78" s="223">
        <f t="shared" si="56"/>
        <v>27559.121603138952</v>
      </c>
      <c r="I78" s="139">
        <f>I$82*E78/E$82</f>
        <v>10801.466287236022</v>
      </c>
      <c r="J78" s="139">
        <f t="shared" si="57"/>
        <v>10801.466287236022</v>
      </c>
      <c r="K78" s="128" t="s">
        <v>86</v>
      </c>
      <c r="L78" s="299">
        <f t="shared" si="58"/>
        <v>10801.466287236022</v>
      </c>
      <c r="M78" s="223">
        <f>L78</f>
        <v>10801.466287236022</v>
      </c>
      <c r="N78" s="223">
        <f t="shared" si="59"/>
        <v>0</v>
      </c>
      <c r="O78" s="221"/>
      <c r="P78" s="300">
        <f t="shared" si="60"/>
        <v>0</v>
      </c>
      <c r="Q78" s="302">
        <f t="shared" si="61"/>
        <v>10801.466287236022</v>
      </c>
      <c r="R78" s="223">
        <f t="shared" si="62"/>
        <v>10801.466287236022</v>
      </c>
      <c r="S78" s="223">
        <f t="shared" si="63"/>
        <v>0</v>
      </c>
      <c r="T78" s="221"/>
      <c r="U78" s="300">
        <f t="shared" si="64"/>
        <v>0</v>
      </c>
      <c r="V78" s="139">
        <f t="shared" si="74"/>
        <v>10801.466287236022</v>
      </c>
      <c r="W78" s="223">
        <f>M78</f>
        <v>10801.466287236022</v>
      </c>
      <c r="X78" s="223">
        <f t="shared" si="65"/>
        <v>0</v>
      </c>
      <c r="Y78" s="221"/>
      <c r="Z78" s="223">
        <f t="shared" si="66"/>
        <v>0</v>
      </c>
      <c r="AA78" s="223">
        <f t="shared" si="73"/>
        <v>10801.466287236022</v>
      </c>
      <c r="AB78" s="223">
        <f t="shared" si="67"/>
        <v>0</v>
      </c>
      <c r="AC78" s="221"/>
      <c r="AD78" s="223">
        <f t="shared" si="68"/>
        <v>0</v>
      </c>
      <c r="AE78" s="128" t="s">
        <v>86</v>
      </c>
      <c r="AG78" s="302">
        <f t="shared" si="69"/>
        <v>0</v>
      </c>
      <c r="AH78" s="223">
        <f t="shared" si="70"/>
        <v>0</v>
      </c>
      <c r="AI78" s="223">
        <f t="shared" si="71"/>
        <v>10801.466287236022</v>
      </c>
      <c r="AJ78" s="221"/>
      <c r="AK78" s="300">
        <f t="shared" si="72"/>
        <v>10801.466287236022</v>
      </c>
    </row>
    <row r="79" spans="1:66" x14ac:dyDescent="0.25">
      <c r="B79" s="128" t="s">
        <v>87</v>
      </c>
      <c r="C79" s="129">
        <v>7</v>
      </c>
      <c r="D79" s="129">
        <v>38</v>
      </c>
      <c r="E79" s="129">
        <f>[3]TabellenEE!J59</f>
        <v>58</v>
      </c>
      <c r="F79" s="223">
        <f t="shared" si="55"/>
        <v>4193.7793743907096</v>
      </c>
      <c r="G79" s="223">
        <f>[3]EEKorneuburgStreicher!P24</f>
        <v>6160.7568808098986</v>
      </c>
      <c r="H79" s="223">
        <f t="shared" si="56"/>
        <v>34748.457673523022</v>
      </c>
      <c r="I79" s="139">
        <f>I$82*E79/E$82</f>
        <v>13619.240101297592</v>
      </c>
      <c r="J79" s="139">
        <f t="shared" si="57"/>
        <v>13619.240101297592</v>
      </c>
      <c r="K79" s="128" t="s">
        <v>87</v>
      </c>
      <c r="L79" s="299">
        <f t="shared" si="58"/>
        <v>13619.240101297592</v>
      </c>
      <c r="M79" s="223">
        <f>L79</f>
        <v>13619.240101297592</v>
      </c>
      <c r="N79" s="223">
        <f t="shared" si="59"/>
        <v>0</v>
      </c>
      <c r="O79" s="221"/>
      <c r="P79" s="300">
        <f t="shared" si="60"/>
        <v>0</v>
      </c>
      <c r="Q79" s="302">
        <f t="shared" si="61"/>
        <v>13619.240101297592</v>
      </c>
      <c r="R79" s="223">
        <f t="shared" si="62"/>
        <v>13619.240101297592</v>
      </c>
      <c r="S79" s="223">
        <f t="shared" si="63"/>
        <v>0</v>
      </c>
      <c r="T79" s="221"/>
      <c r="U79" s="300">
        <f t="shared" si="64"/>
        <v>0</v>
      </c>
      <c r="V79" s="139">
        <f t="shared" si="74"/>
        <v>13619.240101297592</v>
      </c>
      <c r="W79" s="223">
        <f>M79</f>
        <v>13619.240101297592</v>
      </c>
      <c r="X79" s="223">
        <f t="shared" si="65"/>
        <v>0</v>
      </c>
      <c r="Y79" s="221"/>
      <c r="Z79" s="223">
        <f t="shared" si="66"/>
        <v>0</v>
      </c>
      <c r="AA79" s="223">
        <f t="shared" si="73"/>
        <v>13619.240101297592</v>
      </c>
      <c r="AB79" s="223">
        <f t="shared" si="67"/>
        <v>0</v>
      </c>
      <c r="AC79" s="221"/>
      <c r="AD79" s="223">
        <f t="shared" si="68"/>
        <v>0</v>
      </c>
      <c r="AE79" s="128" t="s">
        <v>87</v>
      </c>
      <c r="AG79" s="302">
        <f t="shared" si="69"/>
        <v>0</v>
      </c>
      <c r="AH79" s="223">
        <f t="shared" si="70"/>
        <v>0</v>
      </c>
      <c r="AI79" s="223">
        <f t="shared" si="71"/>
        <v>13619.240101297592</v>
      </c>
      <c r="AJ79" s="221"/>
      <c r="AK79" s="300">
        <f t="shared" si="72"/>
        <v>13619.240101297592</v>
      </c>
    </row>
    <row r="80" spans="1:66" x14ac:dyDescent="0.25">
      <c r="B80" s="128" t="s">
        <v>88</v>
      </c>
      <c r="C80" s="129">
        <v>123</v>
      </c>
      <c r="D80" s="129">
        <v>0</v>
      </c>
      <c r="E80" s="129">
        <f>[3]TabellenEE!J60</f>
        <v>0</v>
      </c>
      <c r="F80" s="223">
        <f t="shared" si="55"/>
        <v>73690.694721436754</v>
      </c>
      <c r="G80" s="223">
        <f>G76</f>
        <v>22826.45646190456</v>
      </c>
      <c r="H80" s="223">
        <f t="shared" si="56"/>
        <v>0</v>
      </c>
      <c r="I80" s="139">
        <f>I$82*E80/E$82</f>
        <v>0</v>
      </c>
      <c r="J80" s="139">
        <f t="shared" si="57"/>
        <v>0</v>
      </c>
      <c r="K80" s="128" t="s">
        <v>88</v>
      </c>
      <c r="L80" s="299">
        <f t="shared" si="58"/>
        <v>0</v>
      </c>
      <c r="M80" s="223">
        <f>L80</f>
        <v>0</v>
      </c>
      <c r="N80" s="223">
        <f t="shared" si="59"/>
        <v>0</v>
      </c>
      <c r="O80" s="221"/>
      <c r="P80" s="300">
        <f t="shared" si="60"/>
        <v>0</v>
      </c>
      <c r="Q80" s="302">
        <f t="shared" si="61"/>
        <v>0</v>
      </c>
      <c r="R80" s="223">
        <f t="shared" si="62"/>
        <v>0</v>
      </c>
      <c r="S80" s="223">
        <f t="shared" si="63"/>
        <v>0</v>
      </c>
      <c r="T80" s="221"/>
      <c r="U80" s="300">
        <f t="shared" si="64"/>
        <v>0</v>
      </c>
      <c r="V80" s="139">
        <f t="shared" si="74"/>
        <v>0</v>
      </c>
      <c r="W80" s="223">
        <f>M80</f>
        <v>0</v>
      </c>
      <c r="X80" s="223">
        <f t="shared" si="65"/>
        <v>0</v>
      </c>
      <c r="Y80" s="221"/>
      <c r="Z80" s="223">
        <f t="shared" si="66"/>
        <v>0</v>
      </c>
      <c r="AA80" s="223">
        <f t="shared" si="73"/>
        <v>0</v>
      </c>
      <c r="AB80" s="223">
        <f t="shared" si="67"/>
        <v>0</v>
      </c>
      <c r="AC80" s="221"/>
      <c r="AD80" s="223">
        <f t="shared" si="68"/>
        <v>0</v>
      </c>
      <c r="AE80" s="128" t="s">
        <v>88</v>
      </c>
      <c r="AG80" s="302">
        <f t="shared" si="69"/>
        <v>0</v>
      </c>
      <c r="AH80" s="223">
        <f t="shared" si="70"/>
        <v>0</v>
      </c>
      <c r="AI80" s="223">
        <f t="shared" si="71"/>
        <v>0</v>
      </c>
      <c r="AJ80" s="221"/>
      <c r="AK80" s="300">
        <f t="shared" si="72"/>
        <v>0</v>
      </c>
    </row>
    <row r="81" spans="1:66" x14ac:dyDescent="0.25">
      <c r="A81" s="92" t="s">
        <v>473</v>
      </c>
      <c r="B81" s="128" t="s">
        <v>90</v>
      </c>
      <c r="C81" s="129">
        <v>99</v>
      </c>
      <c r="D81" s="129">
        <v>59</v>
      </c>
      <c r="E81" s="129">
        <f>[3]TabellenEE!J61</f>
        <v>89</v>
      </c>
      <c r="F81" s="223">
        <f t="shared" si="55"/>
        <v>59312.022580668614</v>
      </c>
      <c r="G81" s="223">
        <f>G83</f>
        <v>78381.54017813722</v>
      </c>
      <c r="H81" s="223">
        <f t="shared" si="56"/>
        <v>53320.909188681879</v>
      </c>
      <c r="I81" s="139">
        <f>I$83*E81/E$83</f>
        <v>76371.757096646514</v>
      </c>
      <c r="J81" s="139">
        <f t="shared" si="57"/>
        <v>76371.757096646514</v>
      </c>
      <c r="K81" s="128" t="s">
        <v>90</v>
      </c>
      <c r="L81" s="299">
        <f t="shared" si="58"/>
        <v>76371.757096646514</v>
      </c>
      <c r="M81" s="223">
        <f>L81*C293</f>
        <v>61097.405677317212</v>
      </c>
      <c r="N81" s="223">
        <f t="shared" si="59"/>
        <v>15274.351419329301</v>
      </c>
      <c r="O81" s="221"/>
      <c r="P81" s="300">
        <f t="shared" si="60"/>
        <v>15274.351419329301</v>
      </c>
      <c r="Q81" s="302">
        <f t="shared" si="61"/>
        <v>76371.757096646514</v>
      </c>
      <c r="R81" s="223">
        <f t="shared" si="62"/>
        <v>61097.405677317212</v>
      </c>
      <c r="S81" s="223">
        <f t="shared" si="63"/>
        <v>15274.351419329301</v>
      </c>
      <c r="T81" s="221"/>
      <c r="U81" s="300">
        <f t="shared" si="64"/>
        <v>15274.351419329301</v>
      </c>
      <c r="V81" s="139">
        <f t="shared" si="74"/>
        <v>76371.757096646514</v>
      </c>
      <c r="W81" s="223">
        <f>V81*C293</f>
        <v>61097.405677317212</v>
      </c>
      <c r="X81" s="223">
        <f t="shared" si="65"/>
        <v>15274.351419329301</v>
      </c>
      <c r="Y81" s="221"/>
      <c r="Z81" s="223">
        <f t="shared" si="66"/>
        <v>15274.351419329301</v>
      </c>
      <c r="AA81" s="223">
        <f t="shared" si="73"/>
        <v>61097.405677317212</v>
      </c>
      <c r="AB81" s="223">
        <f t="shared" si="67"/>
        <v>15274.351419329301</v>
      </c>
      <c r="AC81" s="221"/>
      <c r="AD81" s="223">
        <f t="shared" si="68"/>
        <v>15274.351419329301</v>
      </c>
      <c r="AE81" s="128" t="s">
        <v>90</v>
      </c>
      <c r="AG81" s="302">
        <f t="shared" si="69"/>
        <v>15274.351419329301</v>
      </c>
      <c r="AH81" s="223">
        <f t="shared" si="70"/>
        <v>0</v>
      </c>
      <c r="AI81" s="223">
        <f t="shared" si="71"/>
        <v>76371.757096646514</v>
      </c>
      <c r="AJ81" s="221"/>
      <c r="AK81" s="300">
        <f t="shared" si="72"/>
        <v>76371.757096646514</v>
      </c>
    </row>
    <row r="82" spans="1:66" x14ac:dyDescent="0.25">
      <c r="A82" s="185">
        <f>F115+D115</f>
        <v>90810.253188000017</v>
      </c>
      <c r="B82" s="60" t="s">
        <v>89</v>
      </c>
      <c r="C82" s="129">
        <f>SUM(C76:C80)</f>
        <v>195</v>
      </c>
      <c r="D82" s="129">
        <f>SUM(D76:D80)</f>
        <v>142</v>
      </c>
      <c r="E82" s="129">
        <f>[3]TabellenEE!J62</f>
        <v>215</v>
      </c>
      <c r="F82" s="223">
        <f t="shared" si="55"/>
        <v>116826.71114374119</v>
      </c>
      <c r="G82" s="223">
        <f>SUM(G75:G80)</f>
        <v>51813.669804619014</v>
      </c>
      <c r="H82" s="223">
        <f t="shared" si="56"/>
        <v>128808.93792771467</v>
      </c>
      <c r="I82" s="139">
        <f>I$84/(G$83+G$82)*G82</f>
        <v>50485.114168603141</v>
      </c>
      <c r="J82" s="139">
        <f t="shared" si="57"/>
        <v>50485.114168603141</v>
      </c>
      <c r="K82" s="60" t="s">
        <v>89</v>
      </c>
      <c r="L82" s="299">
        <f t="shared" si="58"/>
        <v>50485.114168603141</v>
      </c>
      <c r="M82" s="221"/>
      <c r="N82" s="221"/>
      <c r="O82" s="221"/>
      <c r="P82" s="300">
        <f t="shared" si="60"/>
        <v>0</v>
      </c>
      <c r="Q82" s="302">
        <f t="shared" si="61"/>
        <v>50485.114168603141</v>
      </c>
      <c r="R82" s="223">
        <f t="shared" si="62"/>
        <v>0</v>
      </c>
      <c r="S82" s="221"/>
      <c r="T82" s="221"/>
      <c r="U82" s="300">
        <f t="shared" si="64"/>
        <v>0</v>
      </c>
      <c r="V82" s="139">
        <f t="shared" si="74"/>
        <v>50485.114168603141</v>
      </c>
      <c r="W82" s="223">
        <f>M82</f>
        <v>0</v>
      </c>
      <c r="X82" s="221"/>
      <c r="Y82" s="221"/>
      <c r="Z82" s="223">
        <f t="shared" si="66"/>
        <v>0</v>
      </c>
      <c r="AA82" s="223">
        <f t="shared" si="73"/>
        <v>0</v>
      </c>
      <c r="AB82" s="221"/>
      <c r="AC82" s="221"/>
      <c r="AD82" s="223">
        <f t="shared" si="68"/>
        <v>0</v>
      </c>
      <c r="AE82" s="60" t="s">
        <v>89</v>
      </c>
      <c r="AG82" s="302">
        <f t="shared" si="69"/>
        <v>0</v>
      </c>
      <c r="AH82" s="223">
        <f t="shared" si="70"/>
        <v>0</v>
      </c>
      <c r="AI82" s="221"/>
      <c r="AJ82" s="221"/>
      <c r="AK82" s="300">
        <f t="shared" si="72"/>
        <v>0</v>
      </c>
    </row>
    <row r="83" spans="1:66" x14ac:dyDescent="0.25">
      <c r="A83" s="185">
        <f>J115</f>
        <v>86950.583079999997</v>
      </c>
      <c r="B83" s="60" t="s">
        <v>90</v>
      </c>
      <c r="C83" s="129">
        <f>C81</f>
        <v>99</v>
      </c>
      <c r="D83" s="129">
        <f>D81</f>
        <v>59</v>
      </c>
      <c r="E83" s="129">
        <f>[3]TabellenEE!J63</f>
        <v>89</v>
      </c>
      <c r="F83" s="223">
        <f t="shared" si="55"/>
        <v>59312.022580668614</v>
      </c>
      <c r="G83" s="223">
        <f>[3]EEKorneuburgStreicher!Q24</f>
        <v>78381.54017813722</v>
      </c>
      <c r="H83" s="223">
        <f t="shared" si="56"/>
        <v>53320.909188681879</v>
      </c>
      <c r="I83" s="139">
        <f>I$84/(G$83+G$82)*G83</f>
        <v>76371.757096646514</v>
      </c>
      <c r="J83" s="139">
        <f t="shared" si="57"/>
        <v>76371.757096646514</v>
      </c>
      <c r="K83" s="60" t="s">
        <v>90</v>
      </c>
      <c r="L83" s="299">
        <f t="shared" si="58"/>
        <v>76371.757096646514</v>
      </c>
      <c r="M83" s="221"/>
      <c r="N83" s="221"/>
      <c r="O83" s="221"/>
      <c r="P83" s="300">
        <f t="shared" si="60"/>
        <v>0</v>
      </c>
      <c r="Q83" s="302">
        <f t="shared" si="61"/>
        <v>76371.757096646514</v>
      </c>
      <c r="R83" s="223">
        <f t="shared" si="62"/>
        <v>0</v>
      </c>
      <c r="S83" s="221"/>
      <c r="T83" s="221"/>
      <c r="U83" s="300">
        <f t="shared" si="64"/>
        <v>0</v>
      </c>
      <c r="V83" s="139">
        <f t="shared" si="74"/>
        <v>76371.757096646514</v>
      </c>
      <c r="W83" s="223">
        <f>M83</f>
        <v>0</v>
      </c>
      <c r="X83" s="221"/>
      <c r="Y83" s="221"/>
      <c r="Z83" s="223">
        <f t="shared" si="66"/>
        <v>0</v>
      </c>
      <c r="AA83" s="223">
        <f t="shared" si="73"/>
        <v>0</v>
      </c>
      <c r="AB83" s="221"/>
      <c r="AC83" s="221"/>
      <c r="AD83" s="223">
        <f t="shared" si="68"/>
        <v>0</v>
      </c>
      <c r="AE83" s="60" t="s">
        <v>90</v>
      </c>
      <c r="AG83" s="302">
        <f t="shared" si="69"/>
        <v>0</v>
      </c>
      <c r="AH83" s="223">
        <f t="shared" si="70"/>
        <v>0</v>
      </c>
      <c r="AI83" s="221"/>
      <c r="AJ83" s="221"/>
      <c r="AK83" s="300">
        <f t="shared" si="72"/>
        <v>0</v>
      </c>
    </row>
    <row r="84" spans="1:66" x14ac:dyDescent="0.25">
      <c r="B84" s="61" t="s">
        <v>13</v>
      </c>
      <c r="C84" s="136">
        <f>SUM(C75:C81)</f>
        <v>312</v>
      </c>
      <c r="D84" s="136">
        <f t="shared" ref="D84:F84" si="75">SUM(D75:D81)</f>
        <v>201</v>
      </c>
      <c r="E84" s="136">
        <f>SUM(E75:E81)</f>
        <v>304</v>
      </c>
      <c r="F84" s="136">
        <f t="shared" si="75"/>
        <v>186922.73782998591</v>
      </c>
      <c r="G84" s="136">
        <f>G75+G82+G83</f>
        <v>130195.20998275623</v>
      </c>
      <c r="H84" s="136">
        <f>H75+H82+H83</f>
        <v>182129.84711639653</v>
      </c>
      <c r="I84" s="139">
        <f>G84/C84*E84</f>
        <v>126856.87126524966</v>
      </c>
      <c r="J84" s="139">
        <f t="shared" si="57"/>
        <v>126856.87126524965</v>
      </c>
      <c r="K84" s="61" t="s">
        <v>13</v>
      </c>
      <c r="L84" s="299">
        <f t="shared" si="58"/>
        <v>126856.87126524966</v>
      </c>
      <c r="M84" s="139">
        <f>SUM(M75:M81)</f>
        <v>91388.474178479097</v>
      </c>
      <c r="N84" s="139">
        <f>SUM(N75:N81)</f>
        <v>35468.39708677055</v>
      </c>
      <c r="O84" s="221"/>
      <c r="P84" s="307">
        <f>SUM(P75:P81)</f>
        <v>35468.39708677055</v>
      </c>
      <c r="Q84" s="302">
        <f>SUM(Q75:Q81)</f>
        <v>126856.87126524965</v>
      </c>
      <c r="R84" s="223">
        <f>SUM(R75:R81)</f>
        <v>91388.474178479097</v>
      </c>
      <c r="S84" s="139">
        <f>SUM(S75:S81)</f>
        <v>35468.39708677055</v>
      </c>
      <c r="T84" s="221"/>
      <c r="U84" s="307">
        <f>SUM(U75:U81)</f>
        <v>35468.39708677055</v>
      </c>
      <c r="V84" s="139">
        <f>SUM(V75:V81)</f>
        <v>145605.06264572212</v>
      </c>
      <c r="W84" s="139">
        <f>SUM(W75:W81)</f>
        <v>91388.474178479097</v>
      </c>
      <c r="X84" s="139">
        <f>SUM(X75:X81)</f>
        <v>35468.39708677055</v>
      </c>
      <c r="Y84" s="221"/>
      <c r="Z84" s="139">
        <f>SUM(Z75:Z81)</f>
        <v>35468.39708677055</v>
      </c>
      <c r="AA84" s="223">
        <f>SUM(AA75:AA81)</f>
        <v>91388.474178479097</v>
      </c>
      <c r="AB84" s="139">
        <f>SUM(AB75:AB81)</f>
        <v>35468.39708677055</v>
      </c>
      <c r="AC84" s="221"/>
      <c r="AD84" s="139">
        <f>SUM(AD75:AD81)</f>
        <v>35468.39708677055</v>
      </c>
      <c r="AE84" s="61" t="s">
        <v>13</v>
      </c>
      <c r="AG84" s="302">
        <f>SUM(AG75:AG81)</f>
        <v>35468.39708677055</v>
      </c>
      <c r="AH84" s="223">
        <f>SUM(AH75:AH81)</f>
        <v>0</v>
      </c>
      <c r="AI84" s="139">
        <f>SUM(AI75:AI81)</f>
        <v>126856.87126524965</v>
      </c>
      <c r="AJ84" s="221"/>
      <c r="AK84" s="307">
        <f>SUM(AK75:AK81)</f>
        <v>126856.87126524965</v>
      </c>
    </row>
    <row r="85" spans="1:66" ht="18.75" x14ac:dyDescent="0.3">
      <c r="A85" s="294"/>
      <c r="B85" s="295" t="s">
        <v>160</v>
      </c>
      <c r="C85" s="129"/>
      <c r="D85" s="129"/>
      <c r="E85" s="132"/>
      <c r="F85" s="223"/>
      <c r="G85" s="230"/>
      <c r="H85" s="313">
        <f>H84/F84</f>
        <v>0.97435897435897434</v>
      </c>
      <c r="I85" s="313">
        <f>I84/G84</f>
        <v>0.97435897435897434</v>
      </c>
      <c r="J85" s="230"/>
      <c r="K85" s="295" t="s">
        <v>160</v>
      </c>
      <c r="L85" s="308"/>
      <c r="M85" s="221"/>
      <c r="N85" s="126"/>
      <c r="O85" s="221"/>
      <c r="P85" s="309"/>
      <c r="Q85" s="308"/>
      <c r="R85" s="221"/>
      <c r="S85" s="126"/>
      <c r="T85" s="221"/>
      <c r="U85" s="309"/>
      <c r="V85" s="230"/>
      <c r="W85" s="221"/>
      <c r="X85" s="126"/>
      <c r="Y85" s="221"/>
      <c r="Z85" s="221"/>
      <c r="AA85" s="221"/>
      <c r="AB85" s="126"/>
      <c r="AC85" s="221"/>
      <c r="AD85" s="221"/>
      <c r="AE85" s="295" t="s">
        <v>160</v>
      </c>
      <c r="AF85" s="294"/>
      <c r="AG85" s="308"/>
      <c r="AH85" s="221"/>
      <c r="AI85" s="126"/>
      <c r="AJ85" s="221"/>
      <c r="AK85" s="309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  <c r="BJ85" s="294"/>
      <c r="BK85" s="294"/>
      <c r="BL85" s="294"/>
      <c r="BM85" s="294"/>
      <c r="BN85" s="294"/>
    </row>
    <row r="86" spans="1:66" x14ac:dyDescent="0.25">
      <c r="B86" s="138" t="s">
        <v>13</v>
      </c>
      <c r="C86" s="139">
        <f t="shared" ref="C86:H86" si="76">C84+C73+C68</f>
        <v>1038.9000000000001</v>
      </c>
      <c r="D86" s="139">
        <f t="shared" si="76"/>
        <v>496</v>
      </c>
      <c r="E86" s="139">
        <f>E84+E73+E68</f>
        <v>680</v>
      </c>
      <c r="F86" s="139">
        <f t="shared" si="76"/>
        <v>504995.65301146515</v>
      </c>
      <c r="G86" s="139">
        <f t="shared" si="76"/>
        <v>422710.59890541679</v>
      </c>
      <c r="H86" s="139">
        <f t="shared" si="76"/>
        <v>407395.7106550975</v>
      </c>
      <c r="I86" s="139">
        <f>I84+I73+I68</f>
        <v>334726.84225744766</v>
      </c>
      <c r="J86" s="139">
        <f>Q86</f>
        <v>289859.72290467029</v>
      </c>
      <c r="K86" s="138" t="s">
        <v>13</v>
      </c>
      <c r="L86" s="299">
        <f>I86</f>
        <v>334726.84225744766</v>
      </c>
      <c r="M86" s="139">
        <f t="shared" ref="M86:AD86" si="77">M84+M73+M68</f>
        <v>169917.46957040796</v>
      </c>
      <c r="N86" s="139">
        <f t="shared" si="77"/>
        <v>164809.37268703966</v>
      </c>
      <c r="O86" s="139">
        <f t="shared" si="77"/>
        <v>22042.849352079371</v>
      </c>
      <c r="P86" s="307">
        <f t="shared" si="77"/>
        <v>142766.52333496028</v>
      </c>
      <c r="Q86" s="299">
        <f>Q84+Q73+Q68</f>
        <v>289859.72290467029</v>
      </c>
      <c r="R86" s="139">
        <f t="shared" ref="R86:S86" si="78">R84+R73+R68</f>
        <v>163833.61437214608</v>
      </c>
      <c r="S86" s="139">
        <f t="shared" si="78"/>
        <v>126026.1085325242</v>
      </c>
      <c r="T86" s="139">
        <f>T84+T73+T68</f>
        <v>22042.849352079371</v>
      </c>
      <c r="U86" s="307">
        <f>U84+U73+U68</f>
        <v>103983.25918044483</v>
      </c>
      <c r="V86" s="139">
        <f>V84+V73+V68</f>
        <v>308607.91428514273</v>
      </c>
      <c r="W86" s="139">
        <f t="shared" ref="W86:X86" si="79">W84+W73+W68</f>
        <v>163833.61437214608</v>
      </c>
      <c r="X86" s="139">
        <f t="shared" si="79"/>
        <v>126026.1085325242</v>
      </c>
      <c r="Y86" s="139">
        <f>Y84+Y73+Y68</f>
        <v>22042.849352079371</v>
      </c>
      <c r="Z86" s="139">
        <f>Z84+Z73+Z68</f>
        <v>108329.14017539477</v>
      </c>
      <c r="AA86" s="139">
        <f t="shared" si="77"/>
        <v>169917.46957040796</v>
      </c>
      <c r="AB86" s="139">
        <f t="shared" si="77"/>
        <v>164809.37268703966</v>
      </c>
      <c r="AC86" s="139">
        <f t="shared" si="77"/>
        <v>22042.849352079371</v>
      </c>
      <c r="AD86" s="139">
        <f t="shared" si="77"/>
        <v>142766.52333496028</v>
      </c>
      <c r="AE86" s="138" t="s">
        <v>13</v>
      </c>
      <c r="AG86" s="299">
        <f>AG84+AG73+AG68</f>
        <v>79531.985084152606</v>
      </c>
      <c r="AH86" s="139">
        <f t="shared" ref="AH86:AI86" si="80">AH84+AH73+AH68</f>
        <v>0</v>
      </c>
      <c r="AI86" s="139">
        <f t="shared" si="80"/>
        <v>203871.58291855874</v>
      </c>
      <c r="AJ86" s="139">
        <f>AJ84+AJ73+AJ68</f>
        <v>22042.849352079371</v>
      </c>
      <c r="AK86" s="307">
        <f>AK84+AK73+AK68</f>
        <v>181828.73356647935</v>
      </c>
    </row>
    <row r="87" spans="1:66" x14ac:dyDescent="0.25">
      <c r="B87" s="314" t="s">
        <v>474</v>
      </c>
      <c r="E87" s="185"/>
      <c r="F87" s="185">
        <f>F84+F68</f>
        <v>371535.42584080732</v>
      </c>
      <c r="G87" s="185">
        <f t="shared" ref="G87:J87" si="81">G84+G68</f>
        <v>289250.37173475896</v>
      </c>
      <c r="H87" s="185">
        <f t="shared" si="81"/>
        <v>325317.45718487934</v>
      </c>
      <c r="I87" s="185">
        <f t="shared" si="81"/>
        <v>252648.58878722947</v>
      </c>
      <c r="J87" s="185">
        <f t="shared" si="81"/>
        <v>207781.46943445213</v>
      </c>
      <c r="K87" s="315"/>
      <c r="L87" s="58"/>
      <c r="M87" s="267"/>
      <c r="N87" s="267"/>
      <c r="O87" s="267"/>
      <c r="P87" s="268"/>
      <c r="Q87" s="58"/>
      <c r="R87" s="267"/>
      <c r="S87" s="267"/>
      <c r="T87" s="267"/>
      <c r="U87" s="268"/>
      <c r="AG87" s="92"/>
      <c r="AH87" s="92"/>
      <c r="AI87" s="92"/>
      <c r="AJ87" s="92"/>
    </row>
    <row r="88" spans="1:66" x14ac:dyDescent="0.25">
      <c r="B88" s="314" t="s">
        <v>161</v>
      </c>
      <c r="E88" s="185">
        <f>E83+E72+E64</f>
        <v>260</v>
      </c>
      <c r="F88" s="92" t="s">
        <v>12</v>
      </c>
      <c r="G88" s="185">
        <f>I115</f>
        <v>31466.322609999999</v>
      </c>
      <c r="H88" s="185">
        <f>J115</f>
        <v>86950.583079999997</v>
      </c>
      <c r="I88" s="316">
        <f>I83+I72+I64</f>
        <v>178819.79609961956</v>
      </c>
      <c r="J88" s="316"/>
      <c r="K88" s="315"/>
      <c r="L88" s="11"/>
      <c r="M88" s="202" t="s">
        <v>11</v>
      </c>
      <c r="N88" s="202" t="s">
        <v>20</v>
      </c>
      <c r="O88" s="202" t="s">
        <v>227</v>
      </c>
      <c r="P88" s="317" t="s">
        <v>9</v>
      </c>
      <c r="Q88" s="58"/>
      <c r="R88" s="318" t="s">
        <v>11</v>
      </c>
      <c r="S88" s="318" t="s">
        <v>20</v>
      </c>
      <c r="T88" s="318" t="s">
        <v>227</v>
      </c>
      <c r="U88" s="319" t="s">
        <v>9</v>
      </c>
      <c r="W88" s="92" t="s">
        <v>11</v>
      </c>
      <c r="X88" s="92" t="s">
        <v>20</v>
      </c>
      <c r="Y88" s="92" t="s">
        <v>227</v>
      </c>
      <c r="Z88" s="92" t="s">
        <v>9</v>
      </c>
      <c r="AA88" s="202" t="s">
        <v>11</v>
      </c>
      <c r="AB88" s="202" t="s">
        <v>20</v>
      </c>
      <c r="AC88" s="202" t="s">
        <v>227</v>
      </c>
      <c r="AD88" s="202" t="s">
        <v>9</v>
      </c>
      <c r="AF88" s="315"/>
      <c r="AG88" s="185"/>
      <c r="AH88" s="185"/>
      <c r="AI88" s="185"/>
      <c r="AJ88" s="185"/>
    </row>
    <row r="89" spans="1:66" x14ac:dyDescent="0.25">
      <c r="B89" s="314" t="s">
        <v>475</v>
      </c>
      <c r="E89">
        <f>E81</f>
        <v>89</v>
      </c>
      <c r="F89" s="92" t="s">
        <v>74</v>
      </c>
      <c r="G89" s="185">
        <f>C115</f>
        <v>74343.146229999998</v>
      </c>
      <c r="H89" s="185">
        <f>D115</f>
        <v>84178.389180000013</v>
      </c>
      <c r="I89" s="185"/>
      <c r="J89" s="185"/>
      <c r="L89" s="320" t="s">
        <v>476</v>
      </c>
      <c r="M89" s="191">
        <f>P66</f>
        <v>34512.206968116072</v>
      </c>
      <c r="N89" s="191">
        <v>0</v>
      </c>
      <c r="O89" s="191">
        <f>P76</f>
        <v>20194.045667441253</v>
      </c>
      <c r="P89" s="321">
        <f>SUM(M89:O89)</f>
        <v>54706.252635557321</v>
      </c>
      <c r="Q89" s="320" t="s">
        <v>476</v>
      </c>
      <c r="R89" s="191">
        <f>U66</f>
        <v>0</v>
      </c>
      <c r="S89" s="191">
        <v>0</v>
      </c>
      <c r="T89" s="191">
        <f>U76</f>
        <v>20194.045667441253</v>
      </c>
      <c r="U89" s="321">
        <f>SUM(R89:T89)</f>
        <v>20194.045667441253</v>
      </c>
      <c r="V89" s="202" t="s">
        <v>476</v>
      </c>
      <c r="W89" s="191">
        <f>Z66</f>
        <v>0</v>
      </c>
      <c r="X89" s="191">
        <v>0</v>
      </c>
      <c r="Y89" s="191">
        <f>Z76</f>
        <v>20194.045667441253</v>
      </c>
      <c r="Z89" s="191">
        <f>SUM(W89:Y89)</f>
        <v>20194.045667441253</v>
      </c>
      <c r="AA89" s="191">
        <f>AD66</f>
        <v>34512.206968116072</v>
      </c>
      <c r="AB89" s="191">
        <v>0</v>
      </c>
      <c r="AC89" s="191">
        <f>AD76</f>
        <v>20194.045667441253</v>
      </c>
      <c r="AD89" s="191">
        <f>SUM(AA89:AC89)</f>
        <v>54706.252635557321</v>
      </c>
      <c r="AF89" s="315"/>
      <c r="AG89" s="185"/>
      <c r="AH89" s="185"/>
      <c r="AI89" s="185"/>
      <c r="AJ89" s="185"/>
    </row>
    <row r="90" spans="1:66" x14ac:dyDescent="0.25">
      <c r="B90" s="314" t="s">
        <v>477</v>
      </c>
      <c r="E90" s="185">
        <f>E77</f>
        <v>25</v>
      </c>
      <c r="F90" s="92" t="s">
        <v>478</v>
      </c>
      <c r="G90" s="185">
        <f>E115</f>
        <v>5346.7912698026139</v>
      </c>
      <c r="H90" s="185">
        <f>F115</f>
        <v>6631.8640080000005</v>
      </c>
      <c r="I90" s="185"/>
      <c r="J90" s="185"/>
      <c r="L90" s="320" t="s">
        <v>479</v>
      </c>
      <c r="M90" s="191">
        <f>P65</f>
        <v>34012.030055534669</v>
      </c>
      <c r="N90" s="191">
        <v>0</v>
      </c>
      <c r="O90" s="191">
        <v>0</v>
      </c>
      <c r="P90" s="321">
        <f t="shared" ref="P90:P96" si="82">SUM(M90:O90)</f>
        <v>34012.030055534669</v>
      </c>
      <c r="Q90" s="320" t="s">
        <v>479</v>
      </c>
      <c r="R90" s="191">
        <f>U65</f>
        <v>34012.030055534669</v>
      </c>
      <c r="S90" s="191">
        <v>0</v>
      </c>
      <c r="T90" s="191">
        <v>0</v>
      </c>
      <c r="U90" s="321">
        <f t="shared" ref="U90:U96" si="83">SUM(R90:T90)</f>
        <v>34012.030055534669</v>
      </c>
      <c r="V90" s="202" t="s">
        <v>479</v>
      </c>
      <c r="W90" s="191">
        <f>Z65</f>
        <v>34012.030055534669</v>
      </c>
      <c r="X90" s="191">
        <v>0</v>
      </c>
      <c r="Y90" s="191">
        <v>0</v>
      </c>
      <c r="Z90" s="191">
        <f t="shared" ref="Z90:Z96" si="84">SUM(W90:Y90)</f>
        <v>34012.030055534669</v>
      </c>
      <c r="AA90" s="191">
        <f>AD65</f>
        <v>34012.030055534669</v>
      </c>
      <c r="AB90" s="191">
        <v>0</v>
      </c>
      <c r="AC90" s="191">
        <v>0</v>
      </c>
      <c r="AD90" s="191">
        <f t="shared" ref="AD90:AD96" si="85">SUM(AA90:AC90)</f>
        <v>34012.030055534669</v>
      </c>
      <c r="AG90" s="185"/>
      <c r="AH90" s="185"/>
      <c r="AI90" s="185"/>
      <c r="AJ90" s="185"/>
    </row>
    <row r="91" spans="1:66" x14ac:dyDescent="0.25">
      <c r="B91" s="315" t="s">
        <v>480</v>
      </c>
      <c r="E91" s="185">
        <f>E89+E90</f>
        <v>114</v>
      </c>
      <c r="G91" s="185">
        <f>SUM(G88:G90)</f>
        <v>111156.26010980262</v>
      </c>
      <c r="H91" s="185">
        <f>SUM(H88:H90)</f>
        <v>177760.83626800001</v>
      </c>
      <c r="I91" s="322">
        <f>G91+H91</f>
        <v>288917.09637780266</v>
      </c>
      <c r="J91" s="322"/>
      <c r="L91" s="320" t="s">
        <v>481</v>
      </c>
      <c r="M91" s="191">
        <f>M89/M98*(M98-1)</f>
        <v>23008.137978744049</v>
      </c>
      <c r="N91" s="191">
        <f t="shared" ref="N91:O91" si="86">N89/N98*(N98-1)</f>
        <v>0</v>
      </c>
      <c r="O91" s="191">
        <f t="shared" si="86"/>
        <v>13462.697111627502</v>
      </c>
      <c r="P91" s="321">
        <f t="shared" si="82"/>
        <v>36470.835090371547</v>
      </c>
      <c r="Q91" s="320" t="s">
        <v>481</v>
      </c>
      <c r="R91" s="191">
        <f t="shared" ref="R91:T91" si="87">R89/R98*(R98-1)</f>
        <v>0</v>
      </c>
      <c r="S91" s="191">
        <f t="shared" si="87"/>
        <v>0</v>
      </c>
      <c r="T91" s="191">
        <f t="shared" si="87"/>
        <v>13462.697111627502</v>
      </c>
      <c r="U91" s="321">
        <f t="shared" si="83"/>
        <v>13462.697111627502</v>
      </c>
      <c r="V91" s="202" t="s">
        <v>481</v>
      </c>
      <c r="W91" s="191">
        <f t="shared" ref="W91:Y91" si="88">W89/W98*(W98-1)</f>
        <v>0</v>
      </c>
      <c r="X91" s="191">
        <f t="shared" si="88"/>
        <v>0</v>
      </c>
      <c r="Y91" s="191">
        <f t="shared" si="88"/>
        <v>13462.697111627502</v>
      </c>
      <c r="Z91" s="191">
        <f t="shared" si="84"/>
        <v>13462.697111627502</v>
      </c>
      <c r="AA91" s="191">
        <f>AA89/4*3</f>
        <v>25884.155226087052</v>
      </c>
      <c r="AB91" s="191">
        <f t="shared" ref="AB91:AC91" si="89">AB89/4*3</f>
        <v>0</v>
      </c>
      <c r="AC91" s="191">
        <f t="shared" si="89"/>
        <v>15145.534250580939</v>
      </c>
      <c r="AD91" s="191">
        <f t="shared" si="85"/>
        <v>41029.689476667991</v>
      </c>
      <c r="AG91" s="185"/>
      <c r="AH91" s="185"/>
      <c r="AI91" s="185"/>
      <c r="AJ91" s="185"/>
    </row>
    <row r="92" spans="1:66" x14ac:dyDescent="0.25">
      <c r="B92" s="314" t="s">
        <v>482</v>
      </c>
      <c r="E92" s="185">
        <f>E84-E89</f>
        <v>215</v>
      </c>
      <c r="H92" s="185"/>
      <c r="I92" s="322"/>
      <c r="J92" s="322"/>
      <c r="L92" s="320" t="s">
        <v>483</v>
      </c>
      <c r="M92" s="191">
        <f>M89/M98*1</f>
        <v>11504.068989372025</v>
      </c>
      <c r="N92" s="191">
        <f t="shared" ref="N92:O92" si="90">N89/N98*1</f>
        <v>0</v>
      </c>
      <c r="O92" s="191">
        <f t="shared" si="90"/>
        <v>6731.3485558137509</v>
      </c>
      <c r="P92" s="321">
        <f t="shared" si="82"/>
        <v>18235.417545185774</v>
      </c>
      <c r="Q92" s="320" t="s">
        <v>483</v>
      </c>
      <c r="R92" s="191">
        <f t="shared" ref="R92:T92" si="91">R89/R98*1</f>
        <v>0</v>
      </c>
      <c r="S92" s="191">
        <f t="shared" si="91"/>
        <v>0</v>
      </c>
      <c r="T92" s="191">
        <f t="shared" si="91"/>
        <v>6731.3485558137509</v>
      </c>
      <c r="U92" s="321">
        <f t="shared" si="83"/>
        <v>6731.3485558137509</v>
      </c>
      <c r="V92" s="202" t="s">
        <v>483</v>
      </c>
      <c r="W92" s="191">
        <f t="shared" ref="W92:Y92" si="92">W89/W98*1</f>
        <v>0</v>
      </c>
      <c r="X92" s="191">
        <f t="shared" si="92"/>
        <v>0</v>
      </c>
      <c r="Y92" s="191">
        <f t="shared" si="92"/>
        <v>6731.3485558137509</v>
      </c>
      <c r="Z92" s="191">
        <f t="shared" si="84"/>
        <v>6731.3485558137509</v>
      </c>
      <c r="AA92" s="191">
        <f>AA89/4*1</f>
        <v>8628.051742029018</v>
      </c>
      <c r="AB92" s="191">
        <f t="shared" ref="AB92:AC92" si="93">AB89/4*1</f>
        <v>0</v>
      </c>
      <c r="AC92" s="191">
        <f t="shared" si="93"/>
        <v>5048.5114168603131</v>
      </c>
      <c r="AD92" s="191">
        <f t="shared" si="85"/>
        <v>13676.56315888933</v>
      </c>
      <c r="AG92" s="185"/>
      <c r="AH92" s="185"/>
      <c r="AI92" s="185"/>
      <c r="AJ92" s="185"/>
    </row>
    <row r="93" spans="1:66" x14ac:dyDescent="0.25">
      <c r="B93" s="314" t="s">
        <v>484</v>
      </c>
      <c r="E93" s="185">
        <f>E84-E91</f>
        <v>190</v>
      </c>
      <c r="H93" s="185"/>
      <c r="I93" s="185"/>
      <c r="J93" s="185"/>
      <c r="L93" s="320" t="s">
        <v>367</v>
      </c>
      <c r="M93" s="191">
        <f>P62+P63</f>
        <v>28722.331282691608</v>
      </c>
      <c r="N93" s="191">
        <f>P72</f>
        <v>10051.557941847392</v>
      </c>
      <c r="O93" s="191">
        <f>P81</f>
        <v>15274.351419329301</v>
      </c>
      <c r="P93" s="321">
        <f t="shared" si="82"/>
        <v>54048.240643868303</v>
      </c>
      <c r="Q93" s="320" t="s">
        <v>367</v>
      </c>
      <c r="R93" s="191">
        <f>U62+U63</f>
        <v>19877.496981816716</v>
      </c>
      <c r="S93" s="191">
        <f>U72</f>
        <v>10051.557941847392</v>
      </c>
      <c r="T93" s="191">
        <f>U81</f>
        <v>15274.351419329301</v>
      </c>
      <c r="U93" s="321">
        <f t="shared" si="83"/>
        <v>45203.40634299341</v>
      </c>
      <c r="V93" s="202" t="s">
        <v>367</v>
      </c>
      <c r="W93" s="191">
        <f>Z62+Z63</f>
        <v>24223.377976766657</v>
      </c>
      <c r="X93" s="191">
        <f>Z72</f>
        <v>10051.557941847392</v>
      </c>
      <c r="Y93" s="191">
        <f>Z81</f>
        <v>15274.351419329301</v>
      </c>
      <c r="Z93" s="191">
        <f t="shared" si="84"/>
        <v>49549.287337943351</v>
      </c>
      <c r="AA93" s="191">
        <f>AD62+AD63</f>
        <v>28722.331282691608</v>
      </c>
      <c r="AB93" s="191">
        <f>AD72</f>
        <v>10051.557941847394</v>
      </c>
      <c r="AC93" s="191">
        <f>AD81</f>
        <v>15274.351419329301</v>
      </c>
      <c r="AD93" s="191">
        <f t="shared" si="85"/>
        <v>54048.240643868303</v>
      </c>
      <c r="AG93" s="185"/>
      <c r="AH93" s="185"/>
      <c r="AI93" s="185"/>
      <c r="AJ93" s="185"/>
    </row>
    <row r="94" spans="1:66" x14ac:dyDescent="0.25">
      <c r="H94" s="185"/>
      <c r="I94" s="185"/>
      <c r="J94" s="185"/>
      <c r="K94" s="314"/>
      <c r="L94" s="320" t="s">
        <v>485</v>
      </c>
      <c r="M94" s="191">
        <f>M92</f>
        <v>11504.068989372025</v>
      </c>
      <c r="N94" s="191">
        <f t="shared" ref="N94:O94" si="94">N92</f>
        <v>0</v>
      </c>
      <c r="O94" s="191">
        <f t="shared" si="94"/>
        <v>6731.3485558137509</v>
      </c>
      <c r="P94" s="321">
        <f>SUM(M94:O94)</f>
        <v>18235.417545185774</v>
      </c>
      <c r="Q94" s="320" t="s">
        <v>485</v>
      </c>
      <c r="R94" s="191">
        <f>R92</f>
        <v>0</v>
      </c>
      <c r="S94" s="191">
        <f t="shared" ref="S94:T94" si="95">S92</f>
        <v>0</v>
      </c>
      <c r="T94" s="191">
        <f t="shared" si="95"/>
        <v>6731.3485558137509</v>
      </c>
      <c r="U94" s="321">
        <f t="shared" si="83"/>
        <v>6731.3485558137509</v>
      </c>
      <c r="V94" s="202" t="s">
        <v>485</v>
      </c>
      <c r="W94" s="191">
        <f>W92</f>
        <v>0</v>
      </c>
      <c r="X94" s="191">
        <f t="shared" ref="X94:Y94" si="96">X92</f>
        <v>0</v>
      </c>
      <c r="Y94" s="191">
        <f t="shared" si="96"/>
        <v>6731.3485558137509</v>
      </c>
      <c r="Z94" s="191">
        <f t="shared" si="84"/>
        <v>6731.3485558137509</v>
      </c>
      <c r="AA94" s="191">
        <f>AA92</f>
        <v>8628.051742029018</v>
      </c>
      <c r="AB94" s="191">
        <f t="shared" ref="AB94:AC94" si="97">AB92</f>
        <v>0</v>
      </c>
      <c r="AC94" s="191">
        <f t="shared" si="97"/>
        <v>5048.5114168603131</v>
      </c>
      <c r="AD94" s="191">
        <f t="shared" si="85"/>
        <v>13676.56315888933</v>
      </c>
      <c r="AG94" s="185"/>
      <c r="AH94" s="185"/>
      <c r="AI94" s="185"/>
      <c r="AJ94" s="322"/>
    </row>
    <row r="95" spans="1:66" x14ac:dyDescent="0.25">
      <c r="H95" s="185"/>
      <c r="I95" s="185"/>
      <c r="J95" s="185"/>
      <c r="K95" s="314"/>
      <c r="L95" s="320" t="s">
        <v>486</v>
      </c>
      <c r="M95" s="191">
        <f>SUM(M93:M94)</f>
        <v>40226.400272063634</v>
      </c>
      <c r="N95" s="191">
        <f t="shared" ref="N95:O95" si="98">SUM(N93:N94)</f>
        <v>10051.557941847392</v>
      </c>
      <c r="O95" s="191">
        <f t="shared" si="98"/>
        <v>22005.699975143052</v>
      </c>
      <c r="P95" s="323">
        <f t="shared" si="82"/>
        <v>72283.658189054084</v>
      </c>
      <c r="Q95" s="320" t="s">
        <v>486</v>
      </c>
      <c r="R95" s="191">
        <f>SUM(R93:R94)</f>
        <v>19877.496981816716</v>
      </c>
      <c r="S95" s="191">
        <f t="shared" ref="S95:T95" si="99">SUM(S93:S94)</f>
        <v>10051.557941847392</v>
      </c>
      <c r="T95" s="191">
        <f t="shared" si="99"/>
        <v>22005.699975143052</v>
      </c>
      <c r="U95" s="323">
        <f t="shared" si="83"/>
        <v>51934.754898807165</v>
      </c>
      <c r="V95" s="202" t="s">
        <v>486</v>
      </c>
      <c r="W95" s="191">
        <f>SUM(W93:W94)</f>
        <v>24223.377976766657</v>
      </c>
      <c r="X95" s="191">
        <f t="shared" ref="X95:Y95" si="100">SUM(X93:X94)</f>
        <v>10051.557941847392</v>
      </c>
      <c r="Y95" s="191">
        <f t="shared" si="100"/>
        <v>22005.699975143052</v>
      </c>
      <c r="Z95" s="207">
        <f t="shared" si="84"/>
        <v>56280.635893757106</v>
      </c>
      <c r="AA95" s="191">
        <f>SUM(AA93:AA94)</f>
        <v>37350.383024720628</v>
      </c>
      <c r="AB95" s="191">
        <f t="shared" ref="AB95:AC95" si="101">SUM(AB93:AB94)</f>
        <v>10051.557941847394</v>
      </c>
      <c r="AC95" s="191">
        <f t="shared" si="101"/>
        <v>20322.862836189615</v>
      </c>
      <c r="AD95" s="207">
        <f>SUM(AA95:AC95)</f>
        <v>67724.80380275764</v>
      </c>
      <c r="AF95" s="314"/>
      <c r="AG95" s="185"/>
      <c r="AH95" s="185"/>
      <c r="AI95" s="185"/>
      <c r="AJ95" s="322"/>
    </row>
    <row r="96" spans="1:66" x14ac:dyDescent="0.25">
      <c r="H96" s="185"/>
      <c r="I96" s="185"/>
      <c r="J96" s="185"/>
      <c r="K96" s="315"/>
      <c r="L96" s="320" t="s">
        <v>487</v>
      </c>
      <c r="M96" s="191">
        <f>M90+M91</f>
        <v>57020.168034278715</v>
      </c>
      <c r="N96" s="191">
        <f t="shared" ref="N96:O96" si="102">N90+N91</f>
        <v>0</v>
      </c>
      <c r="O96" s="191">
        <f t="shared" si="102"/>
        <v>13462.697111627502</v>
      </c>
      <c r="P96" s="323">
        <f t="shared" si="82"/>
        <v>70482.865145906224</v>
      </c>
      <c r="Q96" s="320" t="s">
        <v>487</v>
      </c>
      <c r="R96" s="191">
        <f>R90+R91</f>
        <v>34012.030055534669</v>
      </c>
      <c r="S96" s="191">
        <f t="shared" ref="S96:T96" si="103">S90+S91</f>
        <v>0</v>
      </c>
      <c r="T96" s="191">
        <f t="shared" si="103"/>
        <v>13462.697111627502</v>
      </c>
      <c r="U96" s="323">
        <f t="shared" si="83"/>
        <v>47474.727167162171</v>
      </c>
      <c r="V96" s="202" t="s">
        <v>487</v>
      </c>
      <c r="W96" s="191">
        <f>W90+W91</f>
        <v>34012.030055534669</v>
      </c>
      <c r="X96" s="191">
        <f t="shared" ref="X96:Y96" si="104">X90+X91</f>
        <v>0</v>
      </c>
      <c r="Y96" s="191">
        <f t="shared" si="104"/>
        <v>13462.697111627502</v>
      </c>
      <c r="Z96" s="207">
        <f t="shared" si="84"/>
        <v>47474.727167162171</v>
      </c>
      <c r="AA96" s="191">
        <f>AA90+AA91</f>
        <v>59896.185281621722</v>
      </c>
      <c r="AB96" s="191">
        <f t="shared" ref="AB96:AC96" si="105">AB90+AB91</f>
        <v>0</v>
      </c>
      <c r="AC96" s="191">
        <f t="shared" si="105"/>
        <v>15145.534250580939</v>
      </c>
      <c r="AD96" s="207">
        <f t="shared" si="85"/>
        <v>75041.719532202667</v>
      </c>
      <c r="AF96" s="314"/>
    </row>
    <row r="97" spans="2:27" x14ac:dyDescent="0.25">
      <c r="F97" s="185"/>
      <c r="I97" s="185"/>
      <c r="J97" s="185"/>
      <c r="K97" s="314"/>
      <c r="L97" s="185"/>
      <c r="P97" s="92"/>
      <c r="V97" s="314"/>
    </row>
    <row r="98" spans="2:27" x14ac:dyDescent="0.25">
      <c r="F98" s="185"/>
      <c r="I98" s="185"/>
      <c r="J98" s="185"/>
      <c r="K98" s="314"/>
      <c r="L98" s="324" t="s">
        <v>488</v>
      </c>
      <c r="M98" s="182">
        <v>3</v>
      </c>
      <c r="N98" s="182">
        <v>3</v>
      </c>
      <c r="O98" s="182">
        <v>3</v>
      </c>
      <c r="P98" s="182">
        <v>3</v>
      </c>
      <c r="Q98" s="182">
        <v>3</v>
      </c>
      <c r="R98" s="182">
        <v>3</v>
      </c>
      <c r="S98" s="182">
        <v>3</v>
      </c>
      <c r="T98" s="182">
        <v>3</v>
      </c>
      <c r="U98" s="182">
        <v>3</v>
      </c>
      <c r="V98" s="182">
        <v>3</v>
      </c>
      <c r="W98" s="182">
        <v>3</v>
      </c>
      <c r="X98" s="182">
        <v>3</v>
      </c>
      <c r="Y98" s="182">
        <v>3</v>
      </c>
      <c r="Z98" s="182">
        <v>3</v>
      </c>
      <c r="AA98" s="182">
        <v>3</v>
      </c>
    </row>
    <row r="99" spans="2:27" x14ac:dyDescent="0.25">
      <c r="B99" s="314"/>
      <c r="E99" s="185"/>
      <c r="H99" s="185"/>
      <c r="I99" s="185"/>
      <c r="J99" s="314"/>
      <c r="K99" s="185"/>
      <c r="O99" s="92"/>
      <c r="U99" s="314"/>
    </row>
    <row r="100" spans="2:27" x14ac:dyDescent="0.25">
      <c r="B100" s="314"/>
      <c r="E100" s="185"/>
      <c r="H100" s="185"/>
      <c r="I100" s="185"/>
      <c r="J100" s="314"/>
      <c r="K100" s="185"/>
      <c r="O100" s="92"/>
      <c r="U100" s="314"/>
    </row>
    <row r="101" spans="2:27" x14ac:dyDescent="0.25">
      <c r="B101" s="314"/>
      <c r="E101" s="185"/>
      <c r="H101" s="185"/>
      <c r="I101" s="185"/>
      <c r="J101" s="314"/>
      <c r="K101" s="185"/>
      <c r="O101" s="92"/>
      <c r="U101" s="314"/>
    </row>
    <row r="102" spans="2:27" x14ac:dyDescent="0.25">
      <c r="B102" s="314"/>
      <c r="E102" s="185"/>
      <c r="H102" s="185"/>
      <c r="I102" s="185"/>
      <c r="J102" s="314"/>
      <c r="K102" s="185"/>
      <c r="O102" s="92"/>
      <c r="U102" s="314"/>
    </row>
    <row r="103" spans="2:27" x14ac:dyDescent="0.25">
      <c r="B103" s="314"/>
      <c r="E103" s="185"/>
      <c r="H103" s="185"/>
      <c r="I103" s="185"/>
      <c r="J103" s="314"/>
      <c r="K103" s="185"/>
      <c r="O103" s="92"/>
      <c r="U103" s="314"/>
    </row>
    <row r="104" spans="2:27" x14ac:dyDescent="0.25">
      <c r="B104" s="314"/>
      <c r="E104" s="185"/>
      <c r="H104" s="185"/>
      <c r="I104" s="185"/>
      <c r="J104" s="314"/>
      <c r="K104" s="185"/>
      <c r="O104" s="92"/>
      <c r="U104" s="314"/>
    </row>
    <row r="105" spans="2:27" x14ac:dyDescent="0.25">
      <c r="B105" s="315"/>
      <c r="E105" s="185"/>
      <c r="H105" s="185"/>
      <c r="I105" s="185"/>
      <c r="J105" s="315"/>
      <c r="K105" s="185"/>
      <c r="O105" s="92"/>
      <c r="U105" s="315"/>
    </row>
    <row r="106" spans="2:27" ht="18.75" x14ac:dyDescent="0.3">
      <c r="B106" s="325" t="s">
        <v>489</v>
      </c>
      <c r="C106" s="182" t="s">
        <v>368</v>
      </c>
      <c r="E106" s="185"/>
      <c r="H106" s="185"/>
      <c r="I106" s="185"/>
      <c r="J106" s="315"/>
      <c r="K106" s="185"/>
      <c r="O106" s="92"/>
      <c r="U106" s="315"/>
    </row>
    <row r="107" spans="2:27" x14ac:dyDescent="0.25">
      <c r="C107" t="str">
        <f>[3]StadtVerbrauchswerteEVN2018!B13</f>
        <v>Erdgas Haushalte</v>
      </c>
      <c r="D107" t="str">
        <f>[3]StadtVerbrauchswerteEVN2018!C13</f>
        <v>Erdgas NWG</v>
      </c>
      <c r="E107" t="str">
        <f>[3]StadtVerbrauchswerteEVN2018!D13</f>
        <v>Fernwärme Haushalte</v>
      </c>
      <c r="F107" t="str">
        <f>[3]StadtVerbrauchswerteEVN2018!E13</f>
        <v>Fernwärme NWG</v>
      </c>
      <c r="G107" t="str">
        <f>[3]StadtVerbrauchswerteEVN2018!F13</f>
        <v>Biomasse Haushalte</v>
      </c>
      <c r="H107" t="str">
        <f>[3]StadtVerbrauchswerteEVN2018!G13</f>
        <v>Biomasse NWG</v>
      </c>
      <c r="I107" t="str">
        <f>[3]StadtVerbrauchswerteEVN2018!H13</f>
        <v>Fremdstrom Haushalte</v>
      </c>
      <c r="J107" t="str">
        <f>[3]StadtVerbrauchswerteEVN2018!I13</f>
        <v>Fremdstrom NWG</v>
      </c>
      <c r="K107" t="str">
        <f>[3]StadtVerbrauchswerteEVN2018!J13</f>
        <v>Mobilität fossil</v>
      </c>
      <c r="L107" t="str">
        <f>[3]StadtVerbrauchswerteEVN2018!K13</f>
        <v>Solarthermie</v>
      </c>
      <c r="M107" t="str">
        <f>[3]StadtVerbrauchswerteEVN2018!L13</f>
        <v>Biomasse/Klärschlamm/Biogas</v>
      </c>
      <c r="N107" t="str">
        <f>[3]StadtVerbrauchswerteEVN2018!M13</f>
        <v>Umweltwärme/kälte, Abwasser</v>
      </c>
      <c r="O107" t="str">
        <f>[3]StadtVerbrauchswerteEVN2018!N13</f>
        <v>Photovoltaik</v>
      </c>
      <c r="P107" t="str">
        <f>[3]StadtVerbrauchswerteEVN2018!O13</f>
        <v>Windkraft</v>
      </c>
      <c r="Q107" t="str">
        <f>[3]StadtVerbrauchswerteEVN2018!P13</f>
        <v>Wasserkraft</v>
      </c>
      <c r="R107" s="182" t="s">
        <v>9</v>
      </c>
    </row>
    <row r="108" spans="2:27" x14ac:dyDescent="0.25">
      <c r="B108" s="185" t="str">
        <f>[3]StadtVerbrauchswerteEVN2018!A14</f>
        <v>2008 Energiekataster</v>
      </c>
      <c r="C108" s="185">
        <f>[3]StadtVerbrauchswerteEVN2018!B14</f>
        <v>65007.222000000002</v>
      </c>
      <c r="D108" s="185">
        <f>[3]StadtVerbrauchswerteEVN2018!C14</f>
        <v>56181.667000000001</v>
      </c>
      <c r="E108" s="185">
        <f>[3]StadtVerbrauchswerteEVN2018!D14</f>
        <v>0</v>
      </c>
      <c r="F108" s="185">
        <f>[3]StadtVerbrauchswerteEVN2018!E14</f>
        <v>0</v>
      </c>
      <c r="G108" s="185">
        <f>[3]StadtVerbrauchswerteEVN2018!F14</f>
        <v>0</v>
      </c>
      <c r="H108" s="185">
        <f>[3]StadtVerbrauchswerteEVN2018!G14</f>
        <v>0</v>
      </c>
      <c r="I108" s="185">
        <f>[3]StadtVerbrauchswerteEVN2018!H14</f>
        <v>429.08300000000003</v>
      </c>
      <c r="J108" s="185">
        <f>[3]StadtVerbrauchswerteEVN2018!I14</f>
        <v>107480</v>
      </c>
      <c r="K108" s="185">
        <f>[3]StadtVerbrauchswerteEVN2018!J14</f>
        <v>130397.20556346241</v>
      </c>
      <c r="L108" s="185">
        <f>[3]StadtVerbrauchswerteEVN2018!K14</f>
        <v>0</v>
      </c>
      <c r="M108" s="185">
        <f>[3]StadtVerbrauchswerteEVN2018!L14</f>
        <v>0</v>
      </c>
      <c r="N108" s="185">
        <f>[3]StadtVerbrauchswerteEVN2018!M14</f>
        <v>0</v>
      </c>
      <c r="O108" s="185">
        <f>[3]StadtVerbrauchswerteEVN2018!N14</f>
        <v>0</v>
      </c>
      <c r="P108" s="185">
        <f>[3]StadtVerbrauchswerteEVN2018!O14</f>
        <v>0</v>
      </c>
      <c r="Q108" s="185">
        <f>[3]StadtVerbrauchswerteEVN2018!P14</f>
        <v>0</v>
      </c>
      <c r="R108" s="322">
        <f>SUM(C108:Q108)</f>
        <v>359495.17756346241</v>
      </c>
    </row>
    <row r="109" spans="2:27" x14ac:dyDescent="0.25">
      <c r="B109" s="185" t="str">
        <f>[3]StadtVerbrauchswerteEVN2018!A15</f>
        <v>2008 FH Hochrechnung</v>
      </c>
      <c r="C109" s="185">
        <f>[3]StadtVerbrauchswerteEVN2018!B15</f>
        <v>65007.222000000002</v>
      </c>
      <c r="D109" s="185">
        <f>[3]StadtVerbrauchswerteEVN2018!C15</f>
        <v>56181.667000000001</v>
      </c>
      <c r="E109" s="185">
        <f>[3]StadtVerbrauchswerteEVN2018!D15</f>
        <v>0</v>
      </c>
      <c r="F109" s="185">
        <f>[3]StadtVerbrauchswerteEVN2018!E15</f>
        <v>0</v>
      </c>
      <c r="G109" s="185">
        <f>[3]StadtVerbrauchswerteEVN2018!F15</f>
        <v>0</v>
      </c>
      <c r="H109" s="185">
        <f>[3]StadtVerbrauchswerteEVN2018!G15</f>
        <v>0</v>
      </c>
      <c r="I109" s="185">
        <f>[3]StadtVerbrauchswerteEVN2018!H15</f>
        <v>26610.733</v>
      </c>
      <c r="J109" s="185">
        <f>[3]StadtVerbrauchswerteEVN2018!I15</f>
        <v>87582.877999999997</v>
      </c>
      <c r="K109" s="185">
        <f>[3]StadtVerbrauchswerteEVN2018!J15</f>
        <v>130397.20556346241</v>
      </c>
      <c r="L109" s="185">
        <f>[3]StadtVerbrauchswerteEVN2018!K15</f>
        <v>130397.1875</v>
      </c>
      <c r="M109" s="185">
        <f>[3]StadtVerbrauchswerteEVN2018!L15</f>
        <v>130397.1875</v>
      </c>
      <c r="N109" s="185">
        <f>[3]StadtVerbrauchswerteEVN2018!M15</f>
        <v>130397.1875</v>
      </c>
      <c r="O109" s="185">
        <f>[3]StadtVerbrauchswerteEVN2018!N15</f>
        <v>130397.1875</v>
      </c>
      <c r="P109" s="185">
        <f>[3]StadtVerbrauchswerteEVN2018!O15</f>
        <v>130397.1875</v>
      </c>
      <c r="Q109" s="185">
        <f>[3]StadtVerbrauchswerteEVN2018!P15</f>
        <v>130397.1875</v>
      </c>
      <c r="R109" s="322">
        <f t="shared" ref="R109:R113" si="106">SUM(C109:Q109)</f>
        <v>1148162.8305634623</v>
      </c>
    </row>
    <row r="110" spans="2:27" x14ac:dyDescent="0.25">
      <c r="B110" s="185" t="str">
        <f>[3]StadtVerbrauchswerteEVN2018!A16</f>
        <v>EVN 2015</v>
      </c>
      <c r="C110" s="185">
        <f>[3]StadtVerbrauchswerteEVN2018!B16</f>
        <v>79368.013999999996</v>
      </c>
      <c r="D110" s="185">
        <f>[3]StadtVerbrauchswerteEVN2018!C16</f>
        <v>72133.240000000005</v>
      </c>
      <c r="E110" s="185">
        <f>[3]StadtVerbrauchswerteEVN2018!D16</f>
        <v>5593.9830940000002</v>
      </c>
      <c r="F110" s="185">
        <f>[3]StadtVerbrauchswerteEVN2018!E16</f>
        <v>3605.6899009999993</v>
      </c>
      <c r="G110" s="185">
        <f>[3]StadtVerbrauchswerteEVN2018!F16</f>
        <v>3605.689453125</v>
      </c>
      <c r="H110" s="185">
        <f>[3]StadtVerbrauchswerteEVN2018!G16</f>
        <v>3605.689453125</v>
      </c>
      <c r="I110" s="185">
        <f>[3]StadtVerbrauchswerteEVN2018!H16</f>
        <v>31497.856</v>
      </c>
      <c r="J110" s="185">
        <f>[3]StadtVerbrauchswerteEVN2018!I16</f>
        <v>85228.160000000003</v>
      </c>
      <c r="K110" s="185">
        <f>[3]StadtVerbrauchswerteEVN2018!J16</f>
        <v>130397.20556346241</v>
      </c>
      <c r="L110" s="185">
        <f>[3]StadtVerbrauchswerteEVN2018!K16</f>
        <v>130397.1875</v>
      </c>
      <c r="M110" s="185">
        <f>[3]StadtVerbrauchswerteEVN2018!L16</f>
        <v>130397.1875</v>
      </c>
      <c r="N110" s="185">
        <f>[3]StadtVerbrauchswerteEVN2018!M16</f>
        <v>130397.1875</v>
      </c>
      <c r="O110" s="185">
        <f>[3]StadtVerbrauchswerteEVN2018!N16</f>
        <v>130397.1875</v>
      </c>
      <c r="P110" s="185">
        <f>[3]StadtVerbrauchswerteEVN2018!O16</f>
        <v>130397.1875</v>
      </c>
      <c r="Q110" s="185">
        <f>[3]StadtVerbrauchswerteEVN2018!P16</f>
        <v>130397.1875</v>
      </c>
      <c r="R110" s="322">
        <f t="shared" si="106"/>
        <v>1197418.6524647125</v>
      </c>
    </row>
    <row r="111" spans="2:27" x14ac:dyDescent="0.25">
      <c r="B111" s="185" t="str">
        <f>[3]StadtVerbrauchswerteEVN2018!A17</f>
        <v>EVN 2016</v>
      </c>
      <c r="C111" s="185">
        <f>[3]StadtVerbrauchswerteEVN2018!B17</f>
        <v>74580.330099999992</v>
      </c>
      <c r="D111" s="185">
        <f>[3]StadtVerbrauchswerteEVN2018!C17</f>
        <v>75703.539099999995</v>
      </c>
      <c r="E111" s="185">
        <f>[3]StadtVerbrauchswerteEVN2018!D17</f>
        <v>5515.1254880000015</v>
      </c>
      <c r="F111" s="185">
        <f>[3]StadtVerbrauchswerteEVN2018!E17</f>
        <v>4157.9463750000004</v>
      </c>
      <c r="G111" s="185">
        <f>[3]StadtVerbrauchswerteEVN2018!F17</f>
        <v>4157.9453125</v>
      </c>
      <c r="H111" s="185">
        <f>[3]StadtVerbrauchswerteEVN2018!G17</f>
        <v>4157.9453125</v>
      </c>
      <c r="I111" s="185">
        <f>[3]StadtVerbrauchswerteEVN2018!H17</f>
        <v>30688.386999999999</v>
      </c>
      <c r="J111" s="185">
        <f>[3]StadtVerbrauchswerteEVN2018!I17</f>
        <v>84002.376999999993</v>
      </c>
      <c r="K111" s="185">
        <f>[3]StadtVerbrauchswerteEVN2018!J17</f>
        <v>130397.20556346241</v>
      </c>
      <c r="L111" s="185">
        <f>[3]StadtVerbrauchswerteEVN2018!K17</f>
        <v>130397.1875</v>
      </c>
      <c r="M111" s="185">
        <f>[3]StadtVerbrauchswerteEVN2018!L17</f>
        <v>130397.1875</v>
      </c>
      <c r="N111" s="185">
        <f>[3]StadtVerbrauchswerteEVN2018!M17</f>
        <v>130397.1875</v>
      </c>
      <c r="O111" s="185">
        <f>[3]StadtVerbrauchswerteEVN2018!N17</f>
        <v>130397.1875</v>
      </c>
      <c r="P111" s="185">
        <f>[3]StadtVerbrauchswerteEVN2018!O17</f>
        <v>130397.1875</v>
      </c>
      <c r="Q111" s="185">
        <f>[3]StadtVerbrauchswerteEVN2018!P17</f>
        <v>130397.1875</v>
      </c>
      <c r="R111" s="322">
        <f t="shared" si="106"/>
        <v>1195743.9262514624</v>
      </c>
    </row>
    <row r="112" spans="2:27" x14ac:dyDescent="0.25">
      <c r="B112" s="185" t="str">
        <f>[3]StadtVerbrauchswerteEVN2018!A18</f>
        <v>EVN 2017</v>
      </c>
      <c r="C112" s="185">
        <f>[3]StadtVerbrauchswerteEVN2018!B18</f>
        <v>74343.146229999998</v>
      </c>
      <c r="D112" s="185">
        <f>[3]StadtVerbrauchswerteEVN2018!C18</f>
        <v>84178.389180000013</v>
      </c>
      <c r="E112" s="185">
        <f>[3]StadtVerbrauchswerteEVN2018!D18</f>
        <v>5346.7912698026139</v>
      </c>
      <c r="F112" s="185">
        <f>[3]StadtVerbrauchswerteEVN2018!E18</f>
        <v>6631.8640080000005</v>
      </c>
      <c r="G112" s="185">
        <f>[3]StadtVerbrauchswerteEVN2018!F18</f>
        <v>6631.86328125</v>
      </c>
      <c r="H112" s="185">
        <f>[3]StadtVerbrauchswerteEVN2018!G18</f>
        <v>6631.86328125</v>
      </c>
      <c r="I112" s="185">
        <f>[3]StadtVerbrauchswerteEVN2018!H18</f>
        <v>31466.322609999999</v>
      </c>
      <c r="J112" s="185">
        <f>[3]StadtVerbrauchswerteEVN2018!I18</f>
        <v>86950.583079999997</v>
      </c>
      <c r="K112" s="185">
        <f>[3]StadtVerbrauchswerteEVN2018!J18</f>
        <v>130397.20556346241</v>
      </c>
      <c r="L112" s="185">
        <f>[3]StadtVerbrauchswerteEVN2018!K18</f>
        <v>130397.1875</v>
      </c>
      <c r="M112" s="185">
        <f>[3]StadtVerbrauchswerteEVN2018!L18</f>
        <v>130397.1875</v>
      </c>
      <c r="N112" s="185">
        <f>[3]StadtVerbrauchswerteEVN2018!M18</f>
        <v>130397.1875</v>
      </c>
      <c r="O112" s="185">
        <f>[3]StadtVerbrauchswerteEVN2018!N18</f>
        <v>130397.1875</v>
      </c>
      <c r="P112" s="185">
        <f>[3]StadtVerbrauchswerteEVN2018!O18</f>
        <v>130397.1875</v>
      </c>
      <c r="Q112" s="185">
        <f>[3]StadtVerbrauchswerteEVN2018!P18</f>
        <v>130397.1875</v>
      </c>
      <c r="R112" s="322">
        <f t="shared" si="106"/>
        <v>1214961.1535037649</v>
      </c>
    </row>
    <row r="113" spans="1:66" x14ac:dyDescent="0.25">
      <c r="B113" s="185" t="str">
        <f>[3]StadtVerbrauchswerteEVN2018!A20</f>
        <v>2036 FH Hochrechnung</v>
      </c>
      <c r="C113" s="185">
        <f>[3]StadtVerbrauchswerteEVN2018!B20</f>
        <v>0</v>
      </c>
      <c r="D113" s="185">
        <f>[3]StadtVerbrauchswerteEVN2018!C20</f>
        <v>0</v>
      </c>
      <c r="E113" s="185">
        <f>[3]StadtVerbrauchswerteEVN2018!D20</f>
        <v>0</v>
      </c>
      <c r="F113" s="185">
        <f>[3]StadtVerbrauchswerteEVN2018!E20</f>
        <v>0</v>
      </c>
      <c r="G113" s="185">
        <f>[3]StadtVerbrauchswerteEVN2018!F20</f>
        <v>0</v>
      </c>
      <c r="H113" s="185">
        <f>[3]StadtVerbrauchswerteEVN2018!G20</f>
        <v>0</v>
      </c>
      <c r="I113" s="185">
        <f>[3]StadtVerbrauchswerteEVN2018!H20</f>
        <v>0</v>
      </c>
      <c r="J113" s="185">
        <f>[3]StadtVerbrauchswerteEVN2018!I20</f>
        <v>0</v>
      </c>
      <c r="K113" s="185">
        <f>[3]StadtVerbrauchswerteEVN2018!J20</f>
        <v>0</v>
      </c>
      <c r="L113" s="185">
        <f>[3]StadtVerbrauchswerteEVN2018!K20</f>
        <v>65465.321461675085</v>
      </c>
      <c r="M113" s="185">
        <f>[3]StadtVerbrauchswerteEVN2018!L20</f>
        <v>4947.9120000000003</v>
      </c>
      <c r="N113" s="185">
        <f>[3]StadtVerbrauchswerteEVN2018!M20</f>
        <v>91303.98000000001</v>
      </c>
      <c r="O113" s="185">
        <f>[3]StadtVerbrauchswerteEVN2018!N20</f>
        <v>98356.603367921372</v>
      </c>
      <c r="P113" s="185">
        <f>[3]StadtVerbrauchswerteEVN2018!O20</f>
        <v>9098</v>
      </c>
      <c r="Q113" s="185">
        <f>[3]StadtVerbrauchswerteEVN2018!P20</f>
        <v>9782</v>
      </c>
      <c r="R113" s="322">
        <f t="shared" si="106"/>
        <v>278953.81682959647</v>
      </c>
    </row>
    <row r="114" spans="1:66" x14ac:dyDescent="0.25">
      <c r="B114" s="92" t="s">
        <v>490</v>
      </c>
    </row>
    <row r="115" spans="1:66" x14ac:dyDescent="0.25">
      <c r="B115" s="326" t="str">
        <f t="shared" ref="B115" si="107">B112</f>
        <v>EVN 2017</v>
      </c>
      <c r="C115" s="326">
        <f>C112</f>
        <v>74343.146229999998</v>
      </c>
      <c r="D115" s="326">
        <f t="shared" ref="D115:Q115" si="108">D112</f>
        <v>84178.389180000013</v>
      </c>
      <c r="E115" s="326">
        <f t="shared" si="108"/>
        <v>5346.7912698026139</v>
      </c>
      <c r="F115" s="326">
        <f t="shared" si="108"/>
        <v>6631.8640080000005</v>
      </c>
      <c r="G115" s="326">
        <f t="shared" si="108"/>
        <v>6631.86328125</v>
      </c>
      <c r="H115" s="326">
        <f t="shared" si="108"/>
        <v>6631.86328125</v>
      </c>
      <c r="I115" s="326">
        <f t="shared" si="108"/>
        <v>31466.322609999999</v>
      </c>
      <c r="J115" s="326">
        <f t="shared" si="108"/>
        <v>86950.583079999997</v>
      </c>
      <c r="K115" s="326">
        <f t="shared" si="108"/>
        <v>130397.20556346241</v>
      </c>
      <c r="L115" s="326">
        <f t="shared" si="108"/>
        <v>130397.1875</v>
      </c>
      <c r="M115" s="326">
        <f t="shared" si="108"/>
        <v>130397.1875</v>
      </c>
      <c r="N115" s="326">
        <f t="shared" si="108"/>
        <v>130397.1875</v>
      </c>
      <c r="O115" s="326">
        <f t="shared" si="108"/>
        <v>130397.1875</v>
      </c>
      <c r="P115" s="326">
        <f t="shared" si="108"/>
        <v>130397.1875</v>
      </c>
      <c r="Q115" s="326">
        <f t="shared" si="108"/>
        <v>130397.1875</v>
      </c>
    </row>
    <row r="118" spans="1:66" x14ac:dyDescent="0.25">
      <c r="A118" s="89"/>
      <c r="B118" s="90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</row>
    <row r="119" spans="1:66" x14ac:dyDescent="0.25">
      <c r="A119" s="89"/>
      <c r="B119" s="90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</row>
    <row r="120" spans="1:66" x14ac:dyDescent="0.25">
      <c r="A120" s="89"/>
      <c r="B120" s="90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</row>
    <row r="121" spans="1:66" x14ac:dyDescent="0.25">
      <c r="A121" s="89"/>
      <c r="B121" s="90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</row>
    <row r="122" spans="1:66" x14ac:dyDescent="0.25">
      <c r="A122" s="89"/>
      <c r="B122" s="90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</row>
    <row r="123" spans="1:66" x14ac:dyDescent="0.25">
      <c r="A123" s="89"/>
      <c r="B123" s="90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90" t="s">
        <v>169</v>
      </c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</row>
    <row r="124" spans="1:66" x14ac:dyDescent="0.25">
      <c r="A124" s="89"/>
      <c r="B124" s="90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</row>
    <row r="125" spans="1:66" x14ac:dyDescent="0.25">
      <c r="A125" s="89"/>
      <c r="B125" s="89"/>
      <c r="C125" s="90" t="s">
        <v>491</v>
      </c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</row>
    <row r="126" spans="1:66" ht="60" x14ac:dyDescent="0.25">
      <c r="A126" s="89"/>
      <c r="B126" s="89"/>
      <c r="C126" s="147" t="s">
        <v>73</v>
      </c>
      <c r="D126" s="148">
        <v>2008</v>
      </c>
      <c r="E126" s="124" t="s">
        <v>158</v>
      </c>
      <c r="F126" s="124" t="s">
        <v>91</v>
      </c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</row>
    <row r="127" spans="1:66" x14ac:dyDescent="0.25">
      <c r="A127" s="89"/>
      <c r="B127" s="89"/>
      <c r="C127" s="148" t="s">
        <v>74</v>
      </c>
      <c r="D127" s="148">
        <v>86</v>
      </c>
      <c r="E127" s="148">
        <v>0</v>
      </c>
      <c r="F127" s="148">
        <v>0</v>
      </c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</row>
    <row r="128" spans="1:66" x14ac:dyDescent="0.25">
      <c r="A128" s="89"/>
      <c r="B128" s="89"/>
      <c r="C128" s="148" t="s">
        <v>75</v>
      </c>
      <c r="D128" s="148">
        <v>82</v>
      </c>
      <c r="E128" s="148">
        <v>0</v>
      </c>
      <c r="F128" s="148">
        <v>0</v>
      </c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</row>
    <row r="129" spans="1:66" x14ac:dyDescent="0.25">
      <c r="A129" s="89"/>
      <c r="B129" s="89"/>
      <c r="C129" s="148" t="s">
        <v>76</v>
      </c>
      <c r="D129" s="148">
        <v>27</v>
      </c>
      <c r="E129" s="148">
        <v>0</v>
      </c>
      <c r="F129" s="148">
        <v>0</v>
      </c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</row>
    <row r="130" spans="1:66" x14ac:dyDescent="0.25">
      <c r="A130" s="89"/>
      <c r="B130" s="89"/>
      <c r="C130" s="148" t="s">
        <v>77</v>
      </c>
      <c r="D130" s="148">
        <v>69</v>
      </c>
      <c r="E130" s="148">
        <v>57</v>
      </c>
      <c r="F130" s="148">
        <v>66</v>
      </c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</row>
    <row r="131" spans="1:66" x14ac:dyDescent="0.25">
      <c r="A131" s="89"/>
      <c r="B131" s="89"/>
      <c r="C131" s="148" t="s">
        <v>78</v>
      </c>
      <c r="D131" s="148">
        <v>0.1</v>
      </c>
      <c r="E131" s="148">
        <v>16</v>
      </c>
      <c r="F131" s="148">
        <v>23</v>
      </c>
      <c r="G131" s="89">
        <f>D131+D132+D133+D134+D127+D128+D129</f>
        <v>352.9</v>
      </c>
      <c r="H131" s="89">
        <f t="shared" ref="H131" si="109">E131+E132+E133+E134</f>
        <v>153</v>
      </c>
      <c r="I131" s="89">
        <f>F131+F132+F133+F134</f>
        <v>173</v>
      </c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</row>
    <row r="132" spans="1:66" x14ac:dyDescent="0.25">
      <c r="A132" s="89"/>
      <c r="B132" s="89"/>
      <c r="C132" s="148" t="s">
        <v>80</v>
      </c>
      <c r="D132" s="148">
        <v>0.2</v>
      </c>
      <c r="E132" s="148">
        <v>49</v>
      </c>
      <c r="F132" s="148">
        <v>68</v>
      </c>
      <c r="G132" s="89">
        <f t="shared" ref="G132:H132" si="110">G131/3.6</f>
        <v>98.027777777777771</v>
      </c>
      <c r="H132" s="89">
        <f t="shared" si="110"/>
        <v>42.5</v>
      </c>
      <c r="I132" s="89">
        <f>I131/3.6</f>
        <v>48.055555555555557</v>
      </c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</row>
    <row r="133" spans="1:66" x14ac:dyDescent="0.25">
      <c r="A133" s="89"/>
      <c r="B133" s="89"/>
      <c r="C133" s="148" t="s">
        <v>3</v>
      </c>
      <c r="D133" s="148">
        <v>0.6</v>
      </c>
      <c r="E133" s="148">
        <v>49</v>
      </c>
      <c r="F133" s="148">
        <v>69</v>
      </c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</row>
    <row r="134" spans="1:66" x14ac:dyDescent="0.25">
      <c r="A134" s="89"/>
      <c r="B134" s="89"/>
      <c r="C134" s="148" t="s">
        <v>81</v>
      </c>
      <c r="D134" s="148">
        <v>157</v>
      </c>
      <c r="E134" s="148">
        <v>39</v>
      </c>
      <c r="F134" s="148">
        <v>13</v>
      </c>
      <c r="G134" s="89"/>
      <c r="H134" s="89"/>
      <c r="I134" s="89"/>
      <c r="J134" s="90" t="s">
        <v>9</v>
      </c>
      <c r="K134" s="89">
        <f t="shared" ref="K134:P134" si="111">K142+K139+K136</f>
        <v>198</v>
      </c>
      <c r="L134" s="89">
        <f t="shared" si="111"/>
        <v>23</v>
      </c>
      <c r="M134" s="89">
        <f t="shared" si="111"/>
        <v>83</v>
      </c>
      <c r="N134" s="89">
        <f t="shared" si="111"/>
        <v>223</v>
      </c>
      <c r="O134" s="89">
        <f t="shared" si="111"/>
        <v>41</v>
      </c>
      <c r="P134" s="89">
        <f t="shared" si="111"/>
        <v>62</v>
      </c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</row>
    <row r="135" spans="1:66" ht="30" x14ac:dyDescent="0.25">
      <c r="A135" s="89"/>
      <c r="B135" s="89"/>
      <c r="C135" s="148"/>
      <c r="D135" s="148">
        <f>SUM(D127:D134)</f>
        <v>421.90000000000003</v>
      </c>
      <c r="E135" s="149">
        <f>SUM(E127:E134)</f>
        <v>210</v>
      </c>
      <c r="F135" s="149">
        <f>SUM(F127:F134)</f>
        <v>239</v>
      </c>
      <c r="G135" s="89"/>
      <c r="H135" s="89"/>
      <c r="I135" s="117" t="s">
        <v>492</v>
      </c>
      <c r="J135" s="89"/>
      <c r="K135" s="327" t="s">
        <v>159</v>
      </c>
      <c r="L135" s="328" t="s">
        <v>172</v>
      </c>
      <c r="M135" s="327" t="s">
        <v>173</v>
      </c>
      <c r="N135" s="327" t="s">
        <v>174</v>
      </c>
      <c r="O135" s="327" t="s">
        <v>30</v>
      </c>
      <c r="P135" s="327" t="s">
        <v>14</v>
      </c>
      <c r="Q135" s="328" t="s">
        <v>7</v>
      </c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</row>
    <row r="136" spans="1:66" ht="60" x14ac:dyDescent="0.25">
      <c r="A136" s="89"/>
      <c r="B136" s="89"/>
      <c r="C136" s="147" t="s">
        <v>82</v>
      </c>
      <c r="D136" s="148">
        <v>2008</v>
      </c>
      <c r="E136" s="124" t="s">
        <v>158</v>
      </c>
      <c r="F136" s="124" t="s">
        <v>91</v>
      </c>
      <c r="G136" s="89"/>
      <c r="H136" s="89"/>
      <c r="I136" s="113" t="s">
        <v>11</v>
      </c>
      <c r="J136" s="110"/>
      <c r="K136" s="110">
        <f>F130</f>
        <v>66</v>
      </c>
      <c r="L136" s="110">
        <f>F131</f>
        <v>23</v>
      </c>
      <c r="M136" s="110"/>
      <c r="N136" s="110">
        <f>F132+F133</f>
        <v>137</v>
      </c>
      <c r="O136" s="110">
        <v>1</v>
      </c>
      <c r="P136" s="110">
        <v>1</v>
      </c>
      <c r="Q136" s="110"/>
      <c r="R136" s="90" t="s">
        <v>493</v>
      </c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</row>
    <row r="137" spans="1:66" x14ac:dyDescent="0.25">
      <c r="A137" s="89"/>
      <c r="B137" s="89"/>
      <c r="C137" s="148" t="s">
        <v>14</v>
      </c>
      <c r="D137" s="148">
        <v>10</v>
      </c>
      <c r="E137" s="148">
        <v>17</v>
      </c>
      <c r="F137" s="148">
        <v>15</v>
      </c>
      <c r="G137" s="89"/>
      <c r="H137" s="89"/>
      <c r="I137" s="89"/>
      <c r="J137" s="190" t="s">
        <v>494</v>
      </c>
      <c r="K137" s="91">
        <v>0</v>
      </c>
      <c r="L137" s="91">
        <v>0</v>
      </c>
      <c r="M137" s="91">
        <v>1</v>
      </c>
      <c r="N137" s="91">
        <v>0</v>
      </c>
      <c r="O137" s="91">
        <v>1</v>
      </c>
      <c r="P137" s="91">
        <v>1</v>
      </c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</row>
    <row r="138" spans="1:66" x14ac:dyDescent="0.25">
      <c r="A138" s="89"/>
      <c r="B138" s="89"/>
      <c r="C138" s="148" t="s">
        <v>30</v>
      </c>
      <c r="D138" s="148">
        <v>288</v>
      </c>
      <c r="E138" s="148">
        <v>38</v>
      </c>
      <c r="F138" s="148">
        <v>40</v>
      </c>
      <c r="G138" s="89"/>
      <c r="H138" s="89"/>
      <c r="I138" s="89"/>
      <c r="J138" s="190" t="s">
        <v>495</v>
      </c>
      <c r="K138" s="91">
        <f>(K146-K139*K141-K142*K144)/(K136+L136)</f>
        <v>0.52516853932584262</v>
      </c>
      <c r="L138" s="91">
        <f>K138</f>
        <v>0.52516853932584262</v>
      </c>
      <c r="M138" s="91">
        <v>1</v>
      </c>
      <c r="N138" s="91">
        <v>0</v>
      </c>
      <c r="O138" s="91">
        <v>1</v>
      </c>
      <c r="P138" s="91">
        <v>1</v>
      </c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</row>
    <row r="139" spans="1:66" x14ac:dyDescent="0.25">
      <c r="A139" s="89"/>
      <c r="B139" s="89"/>
      <c r="C139" s="148" t="s">
        <v>159</v>
      </c>
      <c r="D139" s="148">
        <v>7</v>
      </c>
      <c r="E139" s="148">
        <v>30</v>
      </c>
      <c r="F139" s="148">
        <v>43</v>
      </c>
      <c r="G139" s="89"/>
      <c r="H139" s="90"/>
      <c r="I139" s="113" t="s">
        <v>34</v>
      </c>
      <c r="J139" s="110"/>
      <c r="K139" s="110">
        <f>F139</f>
        <v>43</v>
      </c>
      <c r="L139" s="110"/>
      <c r="M139" s="110"/>
      <c r="N139" s="110"/>
      <c r="O139" s="110">
        <f>F138</f>
        <v>40</v>
      </c>
      <c r="P139" s="110">
        <f>F137</f>
        <v>15</v>
      </c>
      <c r="Q139" s="110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</row>
    <row r="140" spans="1:66" x14ac:dyDescent="0.25">
      <c r="A140" s="89"/>
      <c r="B140" s="89"/>
      <c r="C140" s="148"/>
      <c r="D140" s="148">
        <f>SUM(D137:D139)</f>
        <v>305</v>
      </c>
      <c r="E140" s="149">
        <f>SUM(E137:E139)</f>
        <v>85</v>
      </c>
      <c r="F140" s="149">
        <f>SUM(F137:F139)</f>
        <v>98</v>
      </c>
      <c r="G140" s="89"/>
      <c r="H140" s="90"/>
      <c r="I140" s="89"/>
      <c r="J140" s="190" t="s">
        <v>494</v>
      </c>
      <c r="K140" s="91">
        <v>0.5</v>
      </c>
      <c r="L140" s="91">
        <v>0</v>
      </c>
      <c r="M140" s="91">
        <v>1</v>
      </c>
      <c r="N140" s="89"/>
      <c r="O140" s="91">
        <v>1</v>
      </c>
      <c r="P140" s="91">
        <v>1</v>
      </c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</row>
    <row r="141" spans="1:66" x14ac:dyDescent="0.25">
      <c r="A141" s="89"/>
      <c r="B141" s="89"/>
      <c r="C141" s="147" t="s">
        <v>171</v>
      </c>
      <c r="D141" s="148">
        <v>2008</v>
      </c>
      <c r="E141" s="148" t="s">
        <v>170</v>
      </c>
      <c r="F141" s="89"/>
      <c r="G141" s="89"/>
      <c r="H141" s="89"/>
      <c r="I141" s="89"/>
      <c r="J141" s="190" t="s">
        <v>495</v>
      </c>
      <c r="K141" s="91">
        <v>0.7</v>
      </c>
      <c r="L141" s="91">
        <v>0</v>
      </c>
      <c r="M141" s="91">
        <v>1</v>
      </c>
      <c r="N141" s="89"/>
      <c r="O141" s="91">
        <v>1</v>
      </c>
      <c r="P141" s="91">
        <v>1</v>
      </c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</row>
    <row r="142" spans="1:66" x14ac:dyDescent="0.25">
      <c r="A142" s="89"/>
      <c r="B142" s="89"/>
      <c r="C142" s="148" t="s">
        <v>30</v>
      </c>
      <c r="D142" s="148">
        <v>18</v>
      </c>
      <c r="E142" s="148">
        <v>0</v>
      </c>
      <c r="F142" s="148">
        <v>0</v>
      </c>
      <c r="G142" s="89"/>
      <c r="H142" s="90"/>
      <c r="I142" s="113" t="s">
        <v>16</v>
      </c>
      <c r="J142" s="110"/>
      <c r="K142" s="110">
        <f>F148</f>
        <v>89</v>
      </c>
      <c r="L142" s="110">
        <v>0</v>
      </c>
      <c r="M142" s="110">
        <f>F144+F146</f>
        <v>83</v>
      </c>
      <c r="N142" s="110">
        <f>F143</f>
        <v>86</v>
      </c>
      <c r="O142" s="110">
        <v>0</v>
      </c>
      <c r="P142" s="110">
        <f>F145</f>
        <v>46</v>
      </c>
      <c r="Q142" s="110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</row>
    <row r="143" spans="1:66" x14ac:dyDescent="0.25">
      <c r="A143" s="89"/>
      <c r="B143" s="89"/>
      <c r="C143" s="148" t="s">
        <v>32</v>
      </c>
      <c r="D143" s="148">
        <v>65</v>
      </c>
      <c r="E143" s="148">
        <v>57</v>
      </c>
      <c r="F143" s="148">
        <v>86</v>
      </c>
      <c r="G143" s="89"/>
      <c r="H143" s="90"/>
      <c r="I143" s="89"/>
      <c r="J143" s="190" t="s">
        <v>494</v>
      </c>
      <c r="K143" s="91">
        <v>0.5</v>
      </c>
      <c r="L143" s="89"/>
      <c r="M143" s="91">
        <v>1</v>
      </c>
      <c r="N143" s="329">
        <f>(S176+S182)/S183</f>
        <v>0.90842703141300563</v>
      </c>
      <c r="O143" s="91">
        <v>0</v>
      </c>
      <c r="P143" s="91">
        <v>1</v>
      </c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</row>
    <row r="144" spans="1:66" x14ac:dyDescent="0.25">
      <c r="A144" s="89"/>
      <c r="B144" s="89"/>
      <c r="C144" s="148" t="s">
        <v>85</v>
      </c>
      <c r="D144" s="148">
        <v>0</v>
      </c>
      <c r="E144" s="148">
        <v>25</v>
      </c>
      <c r="F144" s="149">
        <v>25</v>
      </c>
      <c r="G144" s="89"/>
      <c r="H144" s="89"/>
      <c r="I144" s="89"/>
      <c r="J144" s="190" t="s">
        <v>495</v>
      </c>
      <c r="K144" s="329">
        <v>0.8</v>
      </c>
      <c r="L144" s="89"/>
      <c r="M144" s="91">
        <v>1</v>
      </c>
      <c r="N144" s="329">
        <f>(S176)/S183</f>
        <v>0.87985394691086116</v>
      </c>
      <c r="O144" s="91">
        <v>0</v>
      </c>
      <c r="P144" s="91">
        <v>1</v>
      </c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</row>
    <row r="145" spans="1:66" x14ac:dyDescent="0.25">
      <c r="A145" s="89"/>
      <c r="B145" s="89"/>
      <c r="C145" s="148" t="s">
        <v>86</v>
      </c>
      <c r="D145" s="148">
        <v>0</v>
      </c>
      <c r="E145" s="148">
        <v>22</v>
      </c>
      <c r="F145" s="148">
        <v>46</v>
      </c>
      <c r="G145" s="89"/>
      <c r="H145" s="90" t="s">
        <v>496</v>
      </c>
      <c r="I145" s="90" t="s">
        <v>497</v>
      </c>
      <c r="J145" s="330" t="str">
        <f>J143</f>
        <v>mit tiefer Geothermie</v>
      </c>
      <c r="K145" s="331">
        <f>K158-M151</f>
        <v>148.04</v>
      </c>
      <c r="L145" s="89"/>
      <c r="M145" s="89"/>
      <c r="N145" s="90" t="s">
        <v>498</v>
      </c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</row>
    <row r="146" spans="1:66" x14ac:dyDescent="0.25">
      <c r="A146" s="89"/>
      <c r="B146" s="89"/>
      <c r="C146" s="148" t="s">
        <v>87</v>
      </c>
      <c r="D146" s="148">
        <v>7</v>
      </c>
      <c r="E146" s="148">
        <v>38</v>
      </c>
      <c r="F146" s="148">
        <v>58</v>
      </c>
      <c r="G146" s="89"/>
      <c r="H146" s="90"/>
      <c r="I146" s="90"/>
      <c r="J146" s="330" t="str">
        <f>J144</f>
        <v>ohne tiefer Geothermie</v>
      </c>
      <c r="K146" s="331">
        <f>K158-M152</f>
        <v>148.04</v>
      </c>
      <c r="L146" s="89"/>
      <c r="M146" s="89"/>
      <c r="N146" s="90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</row>
    <row r="147" spans="1:66" x14ac:dyDescent="0.25">
      <c r="A147" s="89"/>
      <c r="B147" s="89"/>
      <c r="C147" s="148" t="s">
        <v>88</v>
      </c>
      <c r="D147" s="148">
        <v>123</v>
      </c>
      <c r="E147" s="148">
        <v>0</v>
      </c>
      <c r="F147" s="148">
        <v>0</v>
      </c>
      <c r="G147" s="89"/>
      <c r="H147" s="90"/>
      <c r="I147" s="90"/>
      <c r="J147" s="330" t="s">
        <v>499</v>
      </c>
      <c r="K147" s="331">
        <f>K144*K142+K141*K139</f>
        <v>101.3</v>
      </c>
      <c r="L147" s="89"/>
      <c r="M147" s="89"/>
      <c r="N147" s="90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</row>
    <row r="148" spans="1:66" x14ac:dyDescent="0.25">
      <c r="A148" s="89"/>
      <c r="B148" s="89"/>
      <c r="C148" s="148" t="s">
        <v>90</v>
      </c>
      <c r="D148" s="148">
        <v>99</v>
      </c>
      <c r="E148" s="148">
        <v>59</v>
      </c>
      <c r="F148" s="148">
        <v>89</v>
      </c>
      <c r="G148" s="89"/>
      <c r="H148" s="90"/>
      <c r="I148" s="90"/>
      <c r="J148" s="330" t="s">
        <v>500</v>
      </c>
      <c r="K148" s="331">
        <f>K138*K136</f>
        <v>34.661123595505615</v>
      </c>
      <c r="L148" s="331">
        <f>L138*L136</f>
        <v>12.07887640449438</v>
      </c>
      <c r="M148" s="89"/>
      <c r="N148" s="90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</row>
    <row r="149" spans="1:66" x14ac:dyDescent="0.25">
      <c r="A149" s="89"/>
      <c r="B149" s="89"/>
      <c r="C149" s="148" t="s">
        <v>176</v>
      </c>
      <c r="D149" s="150">
        <f>SUM(D142:D148)</f>
        <v>312</v>
      </c>
      <c r="E149" s="150">
        <f>SUM(E142:E148)</f>
        <v>201</v>
      </c>
      <c r="F149" s="150">
        <f>SUM(F142:F148)</f>
        <v>304</v>
      </c>
      <c r="G149" s="90" t="s">
        <v>501</v>
      </c>
      <c r="H149" s="90"/>
      <c r="I149" s="89"/>
      <c r="J149" s="89"/>
      <c r="K149" s="332">
        <f>K148*1000000/3.6*$M$11</f>
        <v>20765.872175434088</v>
      </c>
      <c r="L149" s="332">
        <f>L148*1000000/3.6*$M$11</f>
        <v>7236.5918187118787</v>
      </c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</row>
    <row r="150" spans="1:66" x14ac:dyDescent="0.25">
      <c r="A150" s="89"/>
      <c r="B150" s="89"/>
      <c r="C150" s="89"/>
      <c r="D150" s="89"/>
      <c r="E150" s="89"/>
      <c r="F150" s="89"/>
      <c r="G150" s="89"/>
      <c r="H150" s="90"/>
      <c r="I150" s="117" t="s">
        <v>195</v>
      </c>
      <c r="J150" s="89"/>
      <c r="K150" s="89"/>
      <c r="L150" s="89"/>
      <c r="M150" s="90" t="s">
        <v>502</v>
      </c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</row>
    <row r="151" spans="1:66" x14ac:dyDescent="0.25">
      <c r="A151" s="89"/>
      <c r="B151" s="89"/>
      <c r="C151" s="89"/>
      <c r="D151" s="89"/>
      <c r="E151" s="89"/>
      <c r="F151" s="89"/>
      <c r="G151" s="89"/>
      <c r="H151" s="90"/>
      <c r="I151" s="330" t="str">
        <f>J143</f>
        <v>mit tiefer Geothermie</v>
      </c>
      <c r="J151" s="333">
        <f>SUM(K151:M151)</f>
        <v>91</v>
      </c>
      <c r="K151" s="334">
        <f>K143*K$142+K$139*K140+K$136*K137</f>
        <v>66</v>
      </c>
      <c r="L151" s="335"/>
      <c r="M151" s="335">
        <f>F144</f>
        <v>25</v>
      </c>
      <c r="N151" s="335"/>
      <c r="O151" s="335"/>
      <c r="P151" s="335"/>
      <c r="Q151" s="335">
        <f>G183</f>
        <v>105.69999999999999</v>
      </c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</row>
    <row r="152" spans="1:66" x14ac:dyDescent="0.25">
      <c r="A152" s="89"/>
      <c r="B152" s="89"/>
      <c r="C152" s="89"/>
      <c r="D152" s="89"/>
      <c r="E152" s="89"/>
      <c r="F152" s="89"/>
      <c r="G152" s="89"/>
      <c r="H152" s="90">
        <f>F148+F144+F139+F131+F130</f>
        <v>246</v>
      </c>
      <c r="I152" s="113" t="str">
        <f>J144</f>
        <v>ohne tiefer Geothermie</v>
      </c>
      <c r="J152" s="333">
        <f>SUM(K152:M152)</f>
        <v>173.04000000000002</v>
      </c>
      <c r="K152" s="334">
        <f>K144*K$142+K$139*K141+K$136*K138+L136*L138</f>
        <v>148.04000000000002</v>
      </c>
      <c r="L152" s="110"/>
      <c r="M152" s="110">
        <f>M151</f>
        <v>25</v>
      </c>
      <c r="N152" s="110"/>
      <c r="O152" s="110"/>
      <c r="P152" s="110"/>
      <c r="Q152" s="110">
        <f>Q151</f>
        <v>105.69999999999999</v>
      </c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</row>
    <row r="153" spans="1:66" ht="45" x14ac:dyDescent="0.25">
      <c r="A153" s="89"/>
      <c r="B153" s="89"/>
      <c r="C153" s="89"/>
      <c r="D153" s="90" t="s">
        <v>503</v>
      </c>
      <c r="E153" s="89"/>
      <c r="F153" s="90" t="s">
        <v>177</v>
      </c>
      <c r="G153" s="89"/>
      <c r="H153" s="89"/>
      <c r="I153" s="336" t="s">
        <v>195</v>
      </c>
      <c r="J153" s="337" t="s">
        <v>494</v>
      </c>
      <c r="K153" s="337" t="str">
        <f>J144</f>
        <v>ohne tiefer Geothermie</v>
      </c>
      <c r="L153" s="338" t="s">
        <v>497</v>
      </c>
      <c r="M153" s="89"/>
      <c r="N153" s="89"/>
      <c r="O153" s="90" t="s">
        <v>32</v>
      </c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</row>
    <row r="154" spans="1:66" ht="30.75" thickBot="1" x14ac:dyDescent="0.3">
      <c r="A154" s="117" t="s">
        <v>178</v>
      </c>
      <c r="B154" s="90" t="s">
        <v>178</v>
      </c>
      <c r="C154" s="89">
        <v>2008</v>
      </c>
      <c r="D154" s="89">
        <v>2030</v>
      </c>
      <c r="E154" s="89">
        <v>2050</v>
      </c>
      <c r="F154" s="89">
        <v>2030</v>
      </c>
      <c r="G154" s="89">
        <v>2050</v>
      </c>
      <c r="H154" s="89"/>
      <c r="I154" s="339" t="s">
        <v>0</v>
      </c>
      <c r="J154" s="337">
        <f>M177</f>
        <v>109.8</v>
      </c>
      <c r="K154" s="337">
        <f>J154</f>
        <v>109.8</v>
      </c>
      <c r="L154" s="338" t="s">
        <v>92</v>
      </c>
      <c r="M154" s="90" t="s">
        <v>504</v>
      </c>
      <c r="N154" s="90" t="s">
        <v>5</v>
      </c>
      <c r="O154" s="89">
        <f>C218</f>
        <v>102.3</v>
      </c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</row>
    <row r="155" spans="1:66" x14ac:dyDescent="0.25">
      <c r="A155" s="151" t="s">
        <v>180</v>
      </c>
      <c r="B155" s="152" t="s">
        <v>181</v>
      </c>
      <c r="C155" s="152">
        <v>5.4</v>
      </c>
      <c r="D155" s="152">
        <v>14</v>
      </c>
      <c r="E155" s="152">
        <v>9.5</v>
      </c>
      <c r="F155" s="152">
        <v>14</v>
      </c>
      <c r="G155" s="89">
        <f>C216</f>
        <v>11.4</v>
      </c>
      <c r="H155" s="89"/>
      <c r="I155" s="339" t="s">
        <v>179</v>
      </c>
      <c r="J155" s="337">
        <f>(E179-G179)*M174</f>
        <v>32.22</v>
      </c>
      <c r="K155" s="337">
        <f>M179</f>
        <v>51.839999999999989</v>
      </c>
      <c r="L155" s="338" t="s">
        <v>92</v>
      </c>
      <c r="M155" s="89"/>
      <c r="N155" s="90" t="s">
        <v>3</v>
      </c>
      <c r="O155" s="89">
        <v>75</v>
      </c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</row>
    <row r="156" spans="1:66" x14ac:dyDescent="0.25">
      <c r="A156" s="154" t="s">
        <v>183</v>
      </c>
      <c r="B156" s="155" t="s">
        <v>181</v>
      </c>
      <c r="C156" s="155">
        <v>7.86</v>
      </c>
      <c r="D156" s="155">
        <v>11.1</v>
      </c>
      <c r="E156" s="155">
        <v>43.5</v>
      </c>
      <c r="F156" s="155">
        <v>11.1</v>
      </c>
      <c r="G156" s="89">
        <f t="shared" ref="G156:G159" si="112">C217</f>
        <v>65</v>
      </c>
      <c r="H156" s="89"/>
      <c r="I156" s="339" t="s">
        <v>182</v>
      </c>
      <c r="J156" s="337">
        <f>M176</f>
        <v>11.4</v>
      </c>
      <c r="K156" s="337">
        <f>J156</f>
        <v>11.4</v>
      </c>
      <c r="L156" s="338" t="s">
        <v>92</v>
      </c>
      <c r="M156" s="90" t="s">
        <v>5</v>
      </c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</row>
    <row r="157" spans="1:66" ht="30" x14ac:dyDescent="0.25">
      <c r="A157" s="154" t="s">
        <v>185</v>
      </c>
      <c r="B157" s="155" t="s">
        <v>181</v>
      </c>
      <c r="C157" s="155">
        <v>136</v>
      </c>
      <c r="D157" s="155">
        <v>170</v>
      </c>
      <c r="E157" s="155">
        <v>104.1</v>
      </c>
      <c r="F157" s="155">
        <v>170</v>
      </c>
      <c r="G157" s="89">
        <f t="shared" si="112"/>
        <v>102.3</v>
      </c>
      <c r="H157" s="89"/>
      <c r="I157" s="339" t="s">
        <v>184</v>
      </c>
      <c r="J157" s="337">
        <f>(E182-G182)*M174</f>
        <v>51.389999999999993</v>
      </c>
      <c r="K157" s="337">
        <v>0</v>
      </c>
      <c r="L157" s="338" t="s">
        <v>92</v>
      </c>
      <c r="M157" s="327" t="s">
        <v>173</v>
      </c>
      <c r="N157" s="327" t="s">
        <v>174</v>
      </c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</row>
    <row r="158" spans="1:66" x14ac:dyDescent="0.25">
      <c r="A158" s="154" t="s">
        <v>186</v>
      </c>
      <c r="B158" s="155" t="s">
        <v>181</v>
      </c>
      <c r="C158" s="155">
        <v>3.2</v>
      </c>
      <c r="D158" s="155">
        <v>12.6</v>
      </c>
      <c r="E158" s="155">
        <v>16.100000000000001</v>
      </c>
      <c r="F158" s="155">
        <v>12.6</v>
      </c>
      <c r="G158" s="89">
        <f t="shared" si="112"/>
        <v>22.7</v>
      </c>
      <c r="H158" s="89"/>
      <c r="I158" s="339" t="s">
        <v>229</v>
      </c>
      <c r="J158" s="337">
        <f>SUM(J154:J157)</f>
        <v>204.80999999999997</v>
      </c>
      <c r="K158" s="337">
        <f>SUM(K154:K157)</f>
        <v>173.04</v>
      </c>
      <c r="L158" s="338" t="s">
        <v>92</v>
      </c>
      <c r="M158" s="89"/>
      <c r="N158" s="89">
        <f>F134</f>
        <v>13</v>
      </c>
      <c r="O158" s="90" t="s">
        <v>11</v>
      </c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</row>
    <row r="159" spans="1:66" ht="30" x14ac:dyDescent="0.25">
      <c r="A159" s="154" t="s">
        <v>188</v>
      </c>
      <c r="B159" s="155" t="s">
        <v>181</v>
      </c>
      <c r="C159" s="155">
        <v>2.6</v>
      </c>
      <c r="D159" s="155">
        <v>4.5</v>
      </c>
      <c r="E159" s="155">
        <v>12.1</v>
      </c>
      <c r="F159" s="155">
        <v>4.5</v>
      </c>
      <c r="G159" s="89">
        <f t="shared" si="112"/>
        <v>14.7</v>
      </c>
      <c r="H159" s="89"/>
      <c r="I159" s="339" t="s">
        <v>187</v>
      </c>
      <c r="J159" s="340">
        <f>J158-J151</f>
        <v>113.80999999999997</v>
      </c>
      <c r="K159" s="341">
        <f>IF(J152&gt;K158,0,J152-K158)</f>
        <v>2.8421709430404007E-14</v>
      </c>
      <c r="L159" s="338" t="s">
        <v>92</v>
      </c>
      <c r="M159" s="89"/>
      <c r="N159" s="89">
        <v>1</v>
      </c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</row>
    <row r="160" spans="1:66" ht="30" x14ac:dyDescent="0.25">
      <c r="A160" s="89"/>
      <c r="B160" s="89"/>
      <c r="C160" s="89"/>
      <c r="D160" s="89"/>
      <c r="E160" s="89"/>
      <c r="F160" s="89"/>
      <c r="G160" s="89">
        <f>SUM(G155:G159)</f>
        <v>216.09999999999997</v>
      </c>
      <c r="H160" s="89"/>
      <c r="I160" s="339" t="s">
        <v>505</v>
      </c>
      <c r="J160" s="342">
        <f>J159*1000000/3.6*$M$11</f>
        <v>68184.861514200937</v>
      </c>
      <c r="K160" s="332">
        <f>K159*1000000/3.6*$M$11</f>
        <v>1.7027768399164893E-11</v>
      </c>
      <c r="L160" s="343" t="s">
        <v>368</v>
      </c>
      <c r="M160" s="89">
        <v>0.9</v>
      </c>
      <c r="N160" s="89">
        <v>0.85</v>
      </c>
      <c r="O160" s="90" t="s">
        <v>506</v>
      </c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</row>
    <row r="161" spans="1:66" x14ac:dyDescent="0.25">
      <c r="A161" s="185" t="s">
        <v>5</v>
      </c>
      <c r="F161" s="89"/>
      <c r="G161" s="89"/>
      <c r="H161" s="89"/>
      <c r="I161" s="336" t="s">
        <v>5</v>
      </c>
      <c r="J161" s="337"/>
      <c r="K161" s="337"/>
      <c r="L161" s="338"/>
      <c r="M161" s="89">
        <f>F146</f>
        <v>58</v>
      </c>
      <c r="N161" s="89">
        <f>F143</f>
        <v>86</v>
      </c>
      <c r="O161" s="90" t="s">
        <v>16</v>
      </c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</row>
    <row r="162" spans="1:66" ht="30" x14ac:dyDescent="0.25">
      <c r="A162" s="185" t="s">
        <v>507</v>
      </c>
      <c r="B162" s="185" t="s">
        <v>508</v>
      </c>
      <c r="C162" s="185" t="s">
        <v>509</v>
      </c>
      <c r="D162" t="s">
        <v>510</v>
      </c>
      <c r="E162" t="s">
        <v>511</v>
      </c>
      <c r="F162" s="89"/>
      <c r="G162" s="89"/>
      <c r="H162" s="89"/>
      <c r="I162" s="339" t="s">
        <v>189</v>
      </c>
      <c r="J162" s="340">
        <f>F134</f>
        <v>13</v>
      </c>
      <c r="K162" s="340">
        <f>J162</f>
        <v>13</v>
      </c>
      <c r="L162" s="338" t="s">
        <v>92</v>
      </c>
      <c r="M162" s="89">
        <f>M143</f>
        <v>1</v>
      </c>
      <c r="N162" s="89">
        <f>N143</f>
        <v>0.90842703141300563</v>
      </c>
      <c r="O162" s="89"/>
      <c r="P162" s="89"/>
      <c r="Q162" s="89" t="s">
        <v>494</v>
      </c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</row>
    <row r="163" spans="1:66" ht="30" x14ac:dyDescent="0.25">
      <c r="A163" s="185">
        <v>112</v>
      </c>
      <c r="B163" s="185">
        <v>98</v>
      </c>
      <c r="C163" s="185">
        <v>29</v>
      </c>
      <c r="D163">
        <v>43</v>
      </c>
      <c r="E163">
        <v>11</v>
      </c>
      <c r="F163" s="89"/>
      <c r="G163" s="89"/>
      <c r="H163" s="89"/>
      <c r="I163" s="339" t="s">
        <v>505</v>
      </c>
      <c r="J163" s="342">
        <f>J162*1000000/3.6*$M$11</f>
        <v>7788.4474095827463</v>
      </c>
      <c r="K163" s="342">
        <f>K162*1000000/3.6*$M$11</f>
        <v>7788.4474095827463</v>
      </c>
      <c r="L163" s="343" t="s">
        <v>368</v>
      </c>
      <c r="M163" s="89">
        <f>M144</f>
        <v>1</v>
      </c>
      <c r="N163" s="89">
        <f>N144</f>
        <v>0.87985394691086116</v>
      </c>
      <c r="O163" s="89">
        <f>SUM(M164:N164)</f>
        <v>136.12472470151849</v>
      </c>
      <c r="P163" s="89"/>
      <c r="Q163" s="89" t="s">
        <v>495</v>
      </c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</row>
    <row r="164" spans="1:66" ht="45" x14ac:dyDescent="0.25">
      <c r="A164" s="89"/>
      <c r="B164" s="89"/>
      <c r="C164" s="89"/>
      <c r="D164" s="89"/>
      <c r="E164" s="89"/>
      <c r="F164" s="89"/>
      <c r="G164" s="89"/>
      <c r="H164" s="89"/>
      <c r="I164" s="339" t="s">
        <v>512</v>
      </c>
      <c r="J164" s="344">
        <f>M164</f>
        <v>58</v>
      </c>
      <c r="K164" s="344">
        <f>M165</f>
        <v>58</v>
      </c>
      <c r="L164" s="338" t="s">
        <v>92</v>
      </c>
      <c r="M164" s="89">
        <f>M161*M162</f>
        <v>58</v>
      </c>
      <c r="N164" s="89">
        <f>N161*N162</f>
        <v>78.124724701518488</v>
      </c>
      <c r="O164" s="89"/>
      <c r="P164" s="89"/>
      <c r="Q164" s="89" t="s">
        <v>494</v>
      </c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</row>
    <row r="165" spans="1:66" ht="45" x14ac:dyDescent="0.25">
      <c r="A165" s="89"/>
      <c r="B165" s="89"/>
      <c r="C165" s="89"/>
      <c r="D165" s="89"/>
      <c r="E165" s="89"/>
      <c r="F165" s="89"/>
      <c r="G165" s="89"/>
      <c r="H165" s="89"/>
      <c r="I165" s="339" t="s">
        <v>513</v>
      </c>
      <c r="J165" s="340">
        <f>N164</f>
        <v>78.124724701518488</v>
      </c>
      <c r="K165" s="340">
        <f>N165</f>
        <v>75.667439434334057</v>
      </c>
      <c r="L165" s="338" t="s">
        <v>92</v>
      </c>
      <c r="M165" s="89">
        <f>M161*M163</f>
        <v>58</v>
      </c>
      <c r="N165" s="89">
        <f>N161*N163</f>
        <v>75.667439434334057</v>
      </c>
      <c r="O165" s="89"/>
      <c r="P165" s="89"/>
      <c r="Q165" s="89" t="s">
        <v>495</v>
      </c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</row>
    <row r="166" spans="1:66" ht="30" x14ac:dyDescent="0.25">
      <c r="A166" s="89"/>
      <c r="B166" s="89"/>
      <c r="C166" s="89"/>
      <c r="D166" s="89"/>
      <c r="E166" s="89"/>
      <c r="F166" s="89"/>
      <c r="G166" s="89"/>
      <c r="H166" s="89"/>
      <c r="I166" s="339" t="s">
        <v>514</v>
      </c>
      <c r="J166" s="337">
        <f>(J165*N160+J164*M160+J162*N160)</f>
        <v>129.65601599629073</v>
      </c>
      <c r="K166" s="337">
        <f>(K165*N160+K164*M160+K162*N160)</f>
        <v>127.56732351918394</v>
      </c>
      <c r="L166" s="338" t="s">
        <v>92</v>
      </c>
      <c r="M166" s="89"/>
      <c r="N166" s="89">
        <f>N162*N161+N159*N158</f>
        <v>91.124724701518488</v>
      </c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</row>
    <row r="167" spans="1:66" x14ac:dyDescent="0.25">
      <c r="A167" s="89"/>
      <c r="B167" s="89"/>
      <c r="C167" s="89"/>
      <c r="D167" s="89"/>
      <c r="E167" s="89"/>
      <c r="F167" s="89"/>
      <c r="G167" s="89"/>
      <c r="H167" s="89"/>
      <c r="I167" s="339"/>
      <c r="J167" s="342"/>
      <c r="K167" s="342"/>
      <c r="L167" s="343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</row>
    <row r="168" spans="1:66" x14ac:dyDescent="0.25">
      <c r="A168" s="89"/>
      <c r="B168" s="89"/>
      <c r="C168" s="89"/>
      <c r="D168" s="89"/>
      <c r="E168" s="89"/>
      <c r="F168" s="89"/>
      <c r="G168" s="89"/>
      <c r="H168" s="89"/>
      <c r="I168" s="339"/>
      <c r="J168" s="337"/>
      <c r="K168" s="337"/>
      <c r="L168" s="338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</row>
    <row r="169" spans="1:66" x14ac:dyDescent="0.25">
      <c r="A169" s="89"/>
      <c r="B169" s="89"/>
      <c r="C169" s="89"/>
      <c r="D169" s="89"/>
      <c r="E169" s="89"/>
      <c r="F169" s="89"/>
      <c r="G169" s="89"/>
      <c r="H169" s="89"/>
      <c r="I169" s="339"/>
      <c r="J169" s="342"/>
      <c r="K169" s="342"/>
      <c r="L169" s="343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</row>
    <row r="170" spans="1:66" ht="45" x14ac:dyDescent="0.25">
      <c r="A170" s="89"/>
      <c r="B170" s="89"/>
      <c r="C170" s="89"/>
      <c r="D170" s="89"/>
      <c r="E170" s="89"/>
      <c r="F170" s="89"/>
      <c r="G170" s="89"/>
      <c r="H170" s="89"/>
      <c r="I170" s="336" t="s">
        <v>515</v>
      </c>
      <c r="J170" s="345" t="str">
        <f>J153</f>
        <v>mit tiefer Geothermie</v>
      </c>
      <c r="K170" s="345" t="str">
        <f>K153</f>
        <v>ohne tiefer Geothermie</v>
      </c>
      <c r="L170" s="90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</row>
    <row r="171" spans="1:66" ht="30" x14ac:dyDescent="0.25">
      <c r="A171" s="89"/>
      <c r="B171" s="89"/>
      <c r="C171" s="89"/>
      <c r="D171" s="89"/>
      <c r="E171" s="89"/>
      <c r="F171" s="89"/>
      <c r="G171" s="89"/>
      <c r="H171" s="89"/>
      <c r="I171" s="339" t="s">
        <v>516</v>
      </c>
      <c r="J171" s="337">
        <f>G178</f>
        <v>21.1</v>
      </c>
      <c r="K171" s="337">
        <f>J171+G182*0.5</f>
        <v>27.85</v>
      </c>
      <c r="L171" s="90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</row>
    <row r="172" spans="1:66" ht="45" x14ac:dyDescent="0.25">
      <c r="A172" s="89"/>
      <c r="B172" s="89"/>
      <c r="C172" s="89"/>
      <c r="D172" s="89"/>
      <c r="E172" s="89">
        <f>E178/3.6</f>
        <v>19.555555555555557</v>
      </c>
      <c r="F172" s="89"/>
      <c r="G172" s="89"/>
      <c r="H172" s="89"/>
      <c r="I172" s="339" t="s">
        <v>517</v>
      </c>
      <c r="J172" s="342">
        <f>J171*1000000/3.6*$M$11</f>
        <v>12641.249257091997</v>
      </c>
      <c r="K172" s="342">
        <f>K171*1000000/3.6*$M$11</f>
        <v>16685.250796683038</v>
      </c>
      <c r="L172" s="90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</row>
    <row r="173" spans="1:66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178" t="s">
        <v>518</v>
      </c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</row>
    <row r="174" spans="1:66" ht="75" x14ac:dyDescent="0.25">
      <c r="A174" s="89"/>
      <c r="B174" s="89"/>
      <c r="C174" s="328" t="s">
        <v>196</v>
      </c>
      <c r="D174" s="328" t="s">
        <v>137</v>
      </c>
      <c r="E174" s="327"/>
      <c r="F174" s="328" t="s">
        <v>7</v>
      </c>
      <c r="G174" s="328" t="s">
        <v>197</v>
      </c>
      <c r="H174" s="328" t="s">
        <v>137</v>
      </c>
      <c r="I174" s="328" t="s">
        <v>7</v>
      </c>
      <c r="J174" s="328" t="s">
        <v>519</v>
      </c>
      <c r="K174" s="327"/>
      <c r="L174" s="346" t="s">
        <v>520</v>
      </c>
      <c r="M174" s="89">
        <v>0.9</v>
      </c>
      <c r="N174" s="89"/>
      <c r="O174" s="89"/>
      <c r="P174" s="89"/>
      <c r="Q174" s="89"/>
      <c r="R174" s="89"/>
      <c r="S174" s="90" t="s">
        <v>521</v>
      </c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</row>
    <row r="175" spans="1:66" ht="60" x14ac:dyDescent="0.25">
      <c r="A175" s="89"/>
      <c r="B175" s="90" t="s">
        <v>92</v>
      </c>
      <c r="C175" s="327"/>
      <c r="D175" s="327" t="s">
        <v>158</v>
      </c>
      <c r="E175" s="327" t="s">
        <v>91</v>
      </c>
      <c r="F175" s="327" t="s">
        <v>158</v>
      </c>
      <c r="G175" s="327" t="s">
        <v>91</v>
      </c>
      <c r="H175" s="328" t="s">
        <v>522</v>
      </c>
      <c r="I175" s="328" t="s">
        <v>522</v>
      </c>
      <c r="J175" s="328" t="s">
        <v>522</v>
      </c>
      <c r="K175" s="327"/>
      <c r="L175" s="327"/>
      <c r="M175" s="90" t="s">
        <v>523</v>
      </c>
      <c r="N175" s="89" t="s">
        <v>198</v>
      </c>
      <c r="O175" s="89" t="s">
        <v>173</v>
      </c>
      <c r="P175" s="89" t="s">
        <v>174</v>
      </c>
      <c r="Q175" s="89"/>
      <c r="R175" s="90" t="s">
        <v>11</v>
      </c>
      <c r="S175" s="90" t="s">
        <v>16</v>
      </c>
      <c r="T175" s="89" t="s">
        <v>30</v>
      </c>
      <c r="U175" s="89" t="s">
        <v>14</v>
      </c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</row>
    <row r="176" spans="1:66" x14ac:dyDescent="0.25">
      <c r="A176" s="89"/>
      <c r="B176" s="90" t="s">
        <v>5</v>
      </c>
      <c r="C176" s="89">
        <v>307</v>
      </c>
      <c r="D176" s="89">
        <v>244</v>
      </c>
      <c r="E176" s="89">
        <v>293</v>
      </c>
      <c r="F176" s="89"/>
      <c r="G176" s="89"/>
      <c r="H176" s="89">
        <f>E176</f>
        <v>293</v>
      </c>
      <c r="I176" s="89"/>
      <c r="J176" s="89">
        <f t="shared" ref="J176:J182" si="113">H176-I176</f>
        <v>293</v>
      </c>
      <c r="K176" s="89"/>
      <c r="L176" s="89"/>
      <c r="M176" s="89">
        <f>C216</f>
        <v>11.4</v>
      </c>
      <c r="N176" s="89"/>
      <c r="O176" s="89">
        <f>C217</f>
        <v>65</v>
      </c>
      <c r="P176" s="89">
        <f>C218</f>
        <v>102.3</v>
      </c>
      <c r="Q176" s="89"/>
      <c r="R176" s="89">
        <v>13</v>
      </c>
      <c r="S176" s="89">
        <f>(P176-R176)*0.85</f>
        <v>75.905000000000001</v>
      </c>
      <c r="T176" s="89">
        <f>C219</f>
        <v>22.7</v>
      </c>
      <c r="U176" s="89">
        <f>C220</f>
        <v>14.7</v>
      </c>
      <c r="V176" s="89">
        <f>SUM(R176:U176)</f>
        <v>126.30500000000001</v>
      </c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</row>
    <row r="177" spans="1:66" x14ac:dyDescent="0.25">
      <c r="A177" s="89"/>
      <c r="B177" s="90" t="s">
        <v>0</v>
      </c>
      <c r="C177" s="89">
        <v>202</v>
      </c>
      <c r="D177" s="89">
        <f>114.5+F177</f>
        <v>161.30000000000001</v>
      </c>
      <c r="E177" s="89">
        <v>177</v>
      </c>
      <c r="F177" s="89">
        <v>46.8</v>
      </c>
      <c r="G177" s="89">
        <v>55</v>
      </c>
      <c r="H177" s="89">
        <f>E177</f>
        <v>177</v>
      </c>
      <c r="I177" s="89">
        <f>G177</f>
        <v>55</v>
      </c>
      <c r="J177" s="89">
        <f t="shared" si="113"/>
        <v>122</v>
      </c>
      <c r="K177" s="89"/>
      <c r="L177" s="89"/>
      <c r="M177" s="89">
        <f>(J177)*$M$174</f>
        <v>109.8</v>
      </c>
      <c r="N177" s="89">
        <f>R177</f>
        <v>10.620741862225588</v>
      </c>
      <c r="O177" s="89"/>
      <c r="P177" s="89"/>
      <c r="Q177" s="89"/>
      <c r="R177" s="89">
        <f>(E$186-N$181)*M177/(SUM(M$177:M$179,M$182))</f>
        <v>10.620741862225588</v>
      </c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</row>
    <row r="178" spans="1:66" x14ac:dyDescent="0.25">
      <c r="A178" s="89"/>
      <c r="B178" s="90" t="s">
        <v>1</v>
      </c>
      <c r="C178" s="89">
        <v>93</v>
      </c>
      <c r="D178" s="89">
        <f>41.7+F178</f>
        <v>57.900000000000006</v>
      </c>
      <c r="E178" s="89">
        <f>49.3+G178</f>
        <v>70.400000000000006</v>
      </c>
      <c r="F178" s="89">
        <v>16.2</v>
      </c>
      <c r="G178" s="90">
        <v>21.1</v>
      </c>
      <c r="H178" s="90">
        <f>E178+E182*0.5</f>
        <v>105.7</v>
      </c>
      <c r="I178" s="90">
        <f>G178</f>
        <v>21.1</v>
      </c>
      <c r="J178" s="89">
        <f t="shared" si="113"/>
        <v>84.6</v>
      </c>
      <c r="K178" s="89"/>
      <c r="L178" s="89"/>
      <c r="M178" s="89">
        <f>(J178)*$M$174</f>
        <v>76.14</v>
      </c>
      <c r="N178" s="89">
        <f>R178</f>
        <v>7.364875094625285</v>
      </c>
      <c r="O178" s="89"/>
      <c r="P178" s="89"/>
      <c r="Q178" s="89"/>
      <c r="R178" s="89">
        <f>(E$186-N$181)*M178/(SUM(M$177:M$179,M$182))</f>
        <v>7.364875094625285</v>
      </c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</row>
    <row r="179" spans="1:66" x14ac:dyDescent="0.25">
      <c r="A179" s="89"/>
      <c r="B179" s="90" t="s">
        <v>2</v>
      </c>
      <c r="C179" s="89">
        <v>65</v>
      </c>
      <c r="D179" s="89">
        <f>35+F179</f>
        <v>48.6</v>
      </c>
      <c r="E179" s="89">
        <f>35.8+G179</f>
        <v>51.9</v>
      </c>
      <c r="F179" s="89">
        <v>13.6</v>
      </c>
      <c r="G179" s="90">
        <v>16.100000000000001</v>
      </c>
      <c r="H179" s="90">
        <f>E179+E182*0.5</f>
        <v>87.199999999999989</v>
      </c>
      <c r="I179" s="347">
        <f>G179+G182</f>
        <v>29.6</v>
      </c>
      <c r="J179" s="89">
        <f t="shared" si="113"/>
        <v>57.599999999999987</v>
      </c>
      <c r="K179" s="89"/>
      <c r="L179" s="89"/>
      <c r="M179" s="89">
        <f>(J179)*$M$174</f>
        <v>51.839999999999989</v>
      </c>
      <c r="N179" s="89">
        <f>R179</f>
        <v>5.0143830431491292</v>
      </c>
      <c r="O179" s="89"/>
      <c r="P179" s="89"/>
      <c r="Q179" s="89"/>
      <c r="R179" s="89">
        <f>(E$186-N$181)*M179/(SUM(M$177:M$179,M$182))</f>
        <v>5.0143830431491292</v>
      </c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</row>
    <row r="180" spans="1:66" x14ac:dyDescent="0.25">
      <c r="A180" s="89"/>
      <c r="B180" s="90" t="s">
        <v>3</v>
      </c>
      <c r="C180" s="89">
        <v>120</v>
      </c>
      <c r="D180" s="89">
        <v>50</v>
      </c>
      <c r="E180" s="89">
        <v>75</v>
      </c>
      <c r="F180" s="89"/>
      <c r="G180" s="89"/>
      <c r="H180" s="89">
        <f>E180</f>
        <v>75</v>
      </c>
      <c r="I180" s="89"/>
      <c r="J180" s="89">
        <f t="shared" si="113"/>
        <v>75</v>
      </c>
      <c r="K180" s="89">
        <v>5.4</v>
      </c>
      <c r="L180" s="89">
        <v>7.6</v>
      </c>
      <c r="M180" s="89"/>
      <c r="N180" s="89"/>
      <c r="O180" s="89"/>
      <c r="P180" s="89">
        <v>75</v>
      </c>
      <c r="Q180" s="89"/>
      <c r="R180" s="89">
        <f>(P180-S180)*0.85</f>
        <v>57.034999999999997</v>
      </c>
      <c r="S180" s="176">
        <v>7.9</v>
      </c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</row>
    <row r="181" spans="1:66" x14ac:dyDescent="0.25">
      <c r="A181" s="89"/>
      <c r="B181" s="90" t="s">
        <v>4</v>
      </c>
      <c r="C181" s="89">
        <v>341</v>
      </c>
      <c r="D181" s="89">
        <v>49</v>
      </c>
      <c r="E181" s="89">
        <v>68</v>
      </c>
      <c r="F181" s="89"/>
      <c r="G181" s="89"/>
      <c r="H181" s="89">
        <f>E181</f>
        <v>68</v>
      </c>
      <c r="I181" s="89"/>
      <c r="J181" s="89">
        <f t="shared" si="113"/>
        <v>68</v>
      </c>
      <c r="K181" s="89"/>
      <c r="L181" s="89"/>
      <c r="M181" s="89"/>
      <c r="N181" s="89">
        <f>E181</f>
        <v>68</v>
      </c>
      <c r="O181" s="89"/>
      <c r="P181" s="89"/>
      <c r="Q181" s="89"/>
      <c r="R181" s="89">
        <f>N181</f>
        <v>68</v>
      </c>
      <c r="S181" s="176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</row>
    <row r="182" spans="1:66" x14ac:dyDescent="0.25">
      <c r="A182" s="89"/>
      <c r="B182" s="90" t="s">
        <v>199</v>
      </c>
      <c r="C182" s="89">
        <v>211</v>
      </c>
      <c r="D182" s="89">
        <f>8.2+0.3+F182</f>
        <v>10.6</v>
      </c>
      <c r="E182" s="89">
        <f>54.2+2.9+G182</f>
        <v>70.599999999999994</v>
      </c>
      <c r="F182" s="89">
        <v>2.1</v>
      </c>
      <c r="G182" s="89">
        <v>13.5</v>
      </c>
      <c r="H182" s="89">
        <v>0</v>
      </c>
      <c r="I182" s="89"/>
      <c r="J182" s="89">
        <f t="shared" si="113"/>
        <v>0</v>
      </c>
      <c r="K182" s="89"/>
      <c r="L182" s="89"/>
      <c r="M182" s="89">
        <v>0</v>
      </c>
      <c r="N182" s="89">
        <f>R182</f>
        <v>0</v>
      </c>
      <c r="O182" s="89"/>
      <c r="P182" s="89">
        <v>2.9</v>
      </c>
      <c r="Q182" s="89"/>
      <c r="R182" s="89">
        <f>(E$186-N$181)*M182/(SUM(M$177:M$179,M$182))</f>
        <v>0</v>
      </c>
      <c r="S182" s="176">
        <f>P182*0.85</f>
        <v>2.4649999999999999</v>
      </c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</row>
    <row r="183" spans="1:66" x14ac:dyDescent="0.25">
      <c r="A183" s="89"/>
      <c r="B183" s="90" t="s">
        <v>9</v>
      </c>
      <c r="C183" s="89">
        <f>SUM(C176:C182)</f>
        <v>1339</v>
      </c>
      <c r="D183" s="89">
        <f>SUM(D176:D182)</f>
        <v>621.40000000000009</v>
      </c>
      <c r="E183" s="89">
        <f>SUM(E176:E182)</f>
        <v>805.9</v>
      </c>
      <c r="F183" s="89"/>
      <c r="G183" s="117">
        <f>SUM(G176:G182)</f>
        <v>105.69999999999999</v>
      </c>
      <c r="H183" s="89">
        <f>SUM(H176:H182)</f>
        <v>805.90000000000009</v>
      </c>
      <c r="I183" s="117">
        <f>SUM(I176:I182)</f>
        <v>105.69999999999999</v>
      </c>
      <c r="J183" s="117">
        <f>SUM(J176:J182)</f>
        <v>700.2</v>
      </c>
      <c r="K183" s="89"/>
      <c r="L183" s="90" t="s">
        <v>524</v>
      </c>
      <c r="M183" s="89">
        <f>M176+M177+M179+M182</f>
        <v>173.04</v>
      </c>
      <c r="N183" s="89">
        <f>SUM(N176:N182)</f>
        <v>91</v>
      </c>
      <c r="O183" s="89"/>
      <c r="P183" s="89">
        <f>SUM(P176:P182)</f>
        <v>180.20000000000002</v>
      </c>
      <c r="Q183" s="89"/>
      <c r="R183" s="89">
        <f>SUM(R176:R182)</f>
        <v>161.035</v>
      </c>
      <c r="S183" s="89">
        <f t="shared" ref="S183" si="114">SUM(S176:S182)</f>
        <v>86.27000000000001</v>
      </c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</row>
    <row r="184" spans="1:66" x14ac:dyDescent="0.25">
      <c r="A184" s="89"/>
      <c r="B184" s="89"/>
      <c r="C184" s="89"/>
      <c r="D184" s="89"/>
      <c r="E184" s="89"/>
      <c r="F184" s="89"/>
      <c r="G184" s="89"/>
      <c r="H184" s="89"/>
      <c r="I184" s="90" t="s">
        <v>175</v>
      </c>
      <c r="J184" s="89"/>
      <c r="K184" s="89"/>
      <c r="L184" s="90" t="s">
        <v>11</v>
      </c>
      <c r="M184" s="89">
        <f>F130+F131</f>
        <v>89</v>
      </c>
      <c r="N184" s="89"/>
      <c r="O184" s="89"/>
      <c r="P184" s="89"/>
      <c r="Q184" s="89"/>
      <c r="R184" s="89">
        <f>F135</f>
        <v>239</v>
      </c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</row>
    <row r="185" spans="1:66" x14ac:dyDescent="0.25">
      <c r="A185" s="89"/>
      <c r="B185" s="90" t="s">
        <v>159</v>
      </c>
      <c r="C185" s="89"/>
      <c r="D185" s="89">
        <v>209</v>
      </c>
      <c r="E185" s="89">
        <v>273</v>
      </c>
      <c r="F185" s="89"/>
      <c r="G185" s="89"/>
      <c r="H185" s="89"/>
      <c r="I185" s="89"/>
      <c r="J185" s="89"/>
      <c r="K185" s="89"/>
      <c r="L185" s="90" t="s">
        <v>200</v>
      </c>
      <c r="M185" s="89">
        <f>F139</f>
        <v>43</v>
      </c>
      <c r="N185" s="89"/>
      <c r="O185" s="89"/>
      <c r="P185" s="89"/>
      <c r="Q185" s="89"/>
      <c r="R185" s="89">
        <f>R177+R178+R179+R182</f>
        <v>23</v>
      </c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</row>
    <row r="186" spans="1:66" x14ac:dyDescent="0.25">
      <c r="A186" s="89"/>
      <c r="B186" s="90" t="s">
        <v>198</v>
      </c>
      <c r="C186" s="89"/>
      <c r="D186" s="89">
        <v>66</v>
      </c>
      <c r="E186" s="89">
        <v>91</v>
      </c>
      <c r="F186" s="89"/>
      <c r="G186" s="89"/>
      <c r="H186" s="89"/>
      <c r="I186" s="89"/>
      <c r="J186" s="89"/>
      <c r="K186" s="89"/>
      <c r="L186" s="90" t="s">
        <v>16</v>
      </c>
      <c r="M186" s="89">
        <f>F144</f>
        <v>25</v>
      </c>
      <c r="N186" s="89"/>
      <c r="O186" s="89"/>
      <c r="P186" s="89"/>
      <c r="Q186" s="89"/>
      <c r="R186" s="89"/>
      <c r="S186" s="89"/>
      <c r="T186" s="89"/>
      <c r="U186" s="90" t="s">
        <v>507</v>
      </c>
      <c r="V186" s="89">
        <v>112</v>
      </c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</row>
    <row r="187" spans="1:66" x14ac:dyDescent="0.25">
      <c r="A187" s="89"/>
      <c r="B187" s="90" t="s">
        <v>201</v>
      </c>
      <c r="C187" s="89"/>
      <c r="D187" s="89">
        <v>90</v>
      </c>
      <c r="E187" s="89">
        <v>136</v>
      </c>
      <c r="F187" s="89"/>
      <c r="G187" s="89"/>
      <c r="H187" s="89"/>
      <c r="I187" s="89"/>
      <c r="J187" s="89"/>
      <c r="K187" s="89"/>
      <c r="L187" s="90" t="s">
        <v>11</v>
      </c>
      <c r="M187" s="89">
        <f>F148</f>
        <v>89</v>
      </c>
      <c r="N187" s="89"/>
      <c r="O187" s="89"/>
      <c r="P187" s="89"/>
      <c r="Q187" s="89"/>
      <c r="R187" s="89"/>
      <c r="S187" s="89"/>
      <c r="T187" s="89"/>
      <c r="U187" s="90" t="s">
        <v>508</v>
      </c>
      <c r="V187" s="89">
        <v>98</v>
      </c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</row>
    <row r="188" spans="1:66" x14ac:dyDescent="0.25">
      <c r="A188" s="89"/>
      <c r="B188" s="90" t="s">
        <v>174</v>
      </c>
      <c r="C188" s="89"/>
      <c r="D188" s="89">
        <v>154</v>
      </c>
      <c r="E188" s="89">
        <v>180</v>
      </c>
      <c r="F188" s="89"/>
      <c r="G188" s="89"/>
      <c r="H188" s="89"/>
      <c r="I188" s="89"/>
      <c r="J188" s="89"/>
      <c r="K188" s="89"/>
      <c r="L188" s="89"/>
      <c r="M188" s="89">
        <f>SUM(M185:M187)</f>
        <v>157</v>
      </c>
      <c r="N188" s="89"/>
      <c r="O188" s="89"/>
      <c r="P188" s="89"/>
      <c r="Q188" s="89"/>
      <c r="R188" s="89"/>
      <c r="S188" s="89"/>
      <c r="T188" s="89"/>
      <c r="U188" s="90" t="s">
        <v>509</v>
      </c>
      <c r="V188" s="89">
        <v>29</v>
      </c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</row>
    <row r="189" spans="1:66" x14ac:dyDescent="0.25">
      <c r="A189" s="89"/>
      <c r="B189" s="90" t="s">
        <v>30</v>
      </c>
      <c r="C189" s="89"/>
      <c r="D189" s="89">
        <v>39</v>
      </c>
      <c r="E189" s="89">
        <v>42</v>
      </c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90" t="s">
        <v>510</v>
      </c>
      <c r="V189" s="89">
        <v>43</v>
      </c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</row>
    <row r="190" spans="1:66" x14ac:dyDescent="0.25">
      <c r="A190" s="89"/>
      <c r="B190" s="90" t="s">
        <v>14</v>
      </c>
      <c r="C190" s="89"/>
      <c r="D190" s="89">
        <v>41</v>
      </c>
      <c r="E190" s="89">
        <v>64</v>
      </c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90" t="s">
        <v>511</v>
      </c>
      <c r="V190" s="89">
        <v>11</v>
      </c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</row>
    <row r="191" spans="1:66" x14ac:dyDescent="0.25">
      <c r="A191" s="89"/>
      <c r="B191" s="90" t="s">
        <v>182</v>
      </c>
      <c r="C191" s="89"/>
      <c r="D191" s="89">
        <v>28</v>
      </c>
      <c r="E191" s="89">
        <v>33</v>
      </c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>
        <f>SUM(V186:V190)</f>
        <v>293</v>
      </c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</row>
    <row r="192" spans="1:66" x14ac:dyDescent="0.25">
      <c r="A192" s="89"/>
      <c r="B192" s="117" t="s">
        <v>102</v>
      </c>
      <c r="C192" s="89">
        <v>2008</v>
      </c>
      <c r="D192" s="117">
        <f>SUM(D185:D190)</f>
        <v>599</v>
      </c>
      <c r="E192" s="117">
        <f>SUM(E185:E190)</f>
        <v>786</v>
      </c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</row>
    <row r="193" spans="1:66" x14ac:dyDescent="0.25">
      <c r="A193" s="89"/>
      <c r="B193" s="90" t="s">
        <v>11</v>
      </c>
      <c r="C193" s="89">
        <v>433</v>
      </c>
      <c r="D193" s="89">
        <v>211</v>
      </c>
      <c r="E193" s="89">
        <v>240</v>
      </c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</row>
    <row r="194" spans="1:66" x14ac:dyDescent="0.25">
      <c r="A194" s="89"/>
      <c r="B194" s="90" t="s">
        <v>20</v>
      </c>
      <c r="C194" s="89">
        <v>306</v>
      </c>
      <c r="D194" s="89">
        <v>85</v>
      </c>
      <c r="E194" s="89">
        <v>98</v>
      </c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</row>
    <row r="195" spans="1:66" x14ac:dyDescent="0.25">
      <c r="A195" s="89"/>
      <c r="B195" s="90" t="s">
        <v>16</v>
      </c>
      <c r="C195" s="89">
        <v>312</v>
      </c>
      <c r="D195" s="89">
        <v>201</v>
      </c>
      <c r="E195" s="89">
        <v>305</v>
      </c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</row>
    <row r="196" spans="1:66" x14ac:dyDescent="0.25">
      <c r="A196" s="89"/>
      <c r="B196" s="90"/>
      <c r="C196" s="89">
        <f>SUM(C193:C195)</f>
        <v>1051</v>
      </c>
      <c r="D196" s="89">
        <f>SUM(D193:D195)</f>
        <v>497</v>
      </c>
      <c r="E196" s="89">
        <f>SUM(E193:E195)</f>
        <v>643</v>
      </c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</row>
    <row r="197" spans="1:66" x14ac:dyDescent="0.25">
      <c r="A197" s="89"/>
      <c r="B197" s="90"/>
      <c r="C197" s="89"/>
      <c r="D197" s="89"/>
      <c r="E197" s="89">
        <f>E192/E183</f>
        <v>0.9753071100632833</v>
      </c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</row>
    <row r="198" spans="1:66" x14ac:dyDescent="0.25">
      <c r="A198" s="89"/>
      <c r="B198" s="92" t="s">
        <v>525</v>
      </c>
      <c r="C198" s="348">
        <f>[3]TabellenEE!L2</f>
        <v>0.5</v>
      </c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90" t="s">
        <v>526</v>
      </c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>
        <v>0</v>
      </c>
      <c r="AN198" s="89">
        <v>86</v>
      </c>
      <c r="AO198" s="89">
        <v>25</v>
      </c>
      <c r="AP198" s="89">
        <v>46</v>
      </c>
      <c r="AQ198" s="89">
        <v>58</v>
      </c>
      <c r="AR198" s="89">
        <v>0</v>
      </c>
      <c r="AS198" s="89">
        <v>89</v>
      </c>
      <c r="AT198" s="89">
        <v>304</v>
      </c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</row>
    <row r="199" spans="1:66" x14ac:dyDescent="0.25">
      <c r="A199" s="89"/>
      <c r="B199" s="92" t="s">
        <v>527</v>
      </c>
      <c r="C199" s="348">
        <f>[3]TabellenEE!L3</f>
        <v>0.5</v>
      </c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</row>
    <row r="200" spans="1:66" x14ac:dyDescent="0.25">
      <c r="A200" s="89"/>
      <c r="B200" s="92" t="s">
        <v>117</v>
      </c>
      <c r="C200" s="348">
        <f>[3]TabellenEE!L4</f>
        <v>0.1</v>
      </c>
      <c r="D200" s="92" t="s">
        <v>528</v>
      </c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</row>
    <row r="201" spans="1:66" x14ac:dyDescent="0.2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</row>
    <row r="202" spans="1:66" x14ac:dyDescent="0.25">
      <c r="A202" s="89"/>
      <c r="B202" s="89"/>
      <c r="C202" s="90" t="s">
        <v>196</v>
      </c>
      <c r="D202" s="90" t="s">
        <v>137</v>
      </c>
      <c r="E202" s="90"/>
      <c r="F202" s="89" t="s">
        <v>529</v>
      </c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</row>
    <row r="203" spans="1:66" x14ac:dyDescent="0.25">
      <c r="A203" s="89"/>
      <c r="B203" s="89"/>
      <c r="C203" s="89"/>
      <c r="D203" s="90" t="s">
        <v>530</v>
      </c>
      <c r="E203" s="89"/>
      <c r="F203" s="349" t="s">
        <v>526</v>
      </c>
      <c r="G203" s="89"/>
      <c r="H203" s="89"/>
      <c r="I203" s="350" t="s">
        <v>526</v>
      </c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</row>
    <row r="204" spans="1:66" x14ac:dyDescent="0.25">
      <c r="A204" s="89"/>
      <c r="B204" s="89"/>
      <c r="C204" s="90" t="s">
        <v>196</v>
      </c>
      <c r="D204" s="89" t="s">
        <v>91</v>
      </c>
      <c r="E204" s="89" t="s">
        <v>91</v>
      </c>
      <c r="F204" s="90" t="s">
        <v>531</v>
      </c>
      <c r="G204" s="89"/>
      <c r="H204" s="90" t="s">
        <v>116</v>
      </c>
      <c r="I204" s="89" t="s">
        <v>91</v>
      </c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</row>
    <row r="205" spans="1:66" x14ac:dyDescent="0.25">
      <c r="A205" s="89"/>
      <c r="B205" s="90" t="s">
        <v>92</v>
      </c>
      <c r="C205" s="89"/>
      <c r="D205" s="89"/>
      <c r="E205" s="89"/>
      <c r="F205" s="347" t="s">
        <v>137</v>
      </c>
      <c r="G205" s="89"/>
      <c r="H205" s="90"/>
      <c r="I205" s="90" t="s">
        <v>137</v>
      </c>
      <c r="J205" s="90" t="s">
        <v>532</v>
      </c>
      <c r="K205" s="90" t="s">
        <v>159</v>
      </c>
      <c r="L205" s="89"/>
      <c r="M205" s="89"/>
      <c r="N205" s="89"/>
      <c r="O205" s="90" t="s">
        <v>533</v>
      </c>
      <c r="P205" s="89"/>
      <c r="Q205" s="89"/>
      <c r="R205" s="89"/>
      <c r="S205" s="89"/>
      <c r="T205" s="89"/>
      <c r="U205" s="90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</row>
    <row r="206" spans="1:66" x14ac:dyDescent="0.25">
      <c r="A206" s="89"/>
      <c r="B206" s="90" t="s">
        <v>5</v>
      </c>
      <c r="C206" s="89">
        <v>307</v>
      </c>
      <c r="D206" s="89">
        <v>293</v>
      </c>
      <c r="E206" s="89"/>
      <c r="F206" s="351">
        <f>[3]TabellenEE!$J$12</f>
        <v>293</v>
      </c>
      <c r="G206" s="350"/>
      <c r="H206" s="89"/>
      <c r="I206" s="352">
        <f>F206</f>
        <v>293</v>
      </c>
      <c r="J206" s="144">
        <f>G206</f>
        <v>0</v>
      </c>
      <c r="K206" s="89">
        <f>C216</f>
        <v>11.4</v>
      </c>
      <c r="L206" s="353" t="s">
        <v>159</v>
      </c>
      <c r="M206" s="89">
        <f>D185</f>
        <v>209</v>
      </c>
      <c r="N206" s="89">
        <f>E185</f>
        <v>273</v>
      </c>
      <c r="O206" s="326">
        <f>SUM(K206:K209)</f>
        <v>318.93333333333334</v>
      </c>
      <c r="P206" s="115">
        <f>O206-N206</f>
        <v>45.933333333333337</v>
      </c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</row>
    <row r="207" spans="1:66" x14ac:dyDescent="0.25">
      <c r="A207" s="89"/>
      <c r="B207" s="90" t="s">
        <v>0</v>
      </c>
      <c r="C207" s="89">
        <v>202</v>
      </c>
      <c r="D207" s="89">
        <v>177</v>
      </c>
      <c r="E207" s="89">
        <v>55</v>
      </c>
      <c r="F207" s="351">
        <f>[3]TabellenEE!$J$9</f>
        <v>177</v>
      </c>
      <c r="G207" s="350">
        <f>E207</f>
        <v>55</v>
      </c>
      <c r="H207" s="89">
        <f>E207/D207</f>
        <v>0.31073446327683618</v>
      </c>
      <c r="I207" s="352">
        <f t="shared" ref="I207:J212" si="115">F207</f>
        <v>177</v>
      </c>
      <c r="J207" s="144">
        <f t="shared" si="115"/>
        <v>55</v>
      </c>
      <c r="K207" s="115">
        <f>I207-J207</f>
        <v>122</v>
      </c>
      <c r="L207" s="354" t="s">
        <v>534</v>
      </c>
      <c r="M207" s="89"/>
      <c r="N207" s="89"/>
      <c r="O207" s="348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</row>
    <row r="208" spans="1:66" x14ac:dyDescent="0.25">
      <c r="A208" s="89"/>
      <c r="B208" s="90" t="s">
        <v>1</v>
      </c>
      <c r="C208" s="89">
        <v>93</v>
      </c>
      <c r="D208" s="89">
        <v>70.400000000000006</v>
      </c>
      <c r="E208" s="90">
        <v>21.1</v>
      </c>
      <c r="F208" s="351">
        <f>[3]TabellenEE!$J$11</f>
        <v>127.36666666666667</v>
      </c>
      <c r="G208" s="350">
        <f>E208+E$212*C$199</f>
        <v>27.85</v>
      </c>
      <c r="H208" s="89">
        <f>E208/D208</f>
        <v>0.29971590909090906</v>
      </c>
      <c r="I208" s="352">
        <f t="shared" si="115"/>
        <v>127.36666666666667</v>
      </c>
      <c r="J208" s="144">
        <f t="shared" si="115"/>
        <v>27.85</v>
      </c>
      <c r="K208" s="115">
        <f>I208-J208</f>
        <v>99.51666666666668</v>
      </c>
      <c r="L208" s="354" t="s">
        <v>535</v>
      </c>
      <c r="M208" s="89"/>
      <c r="N208" s="89"/>
      <c r="O208" s="348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</row>
    <row r="209" spans="1:66" x14ac:dyDescent="0.25">
      <c r="A209" s="89"/>
      <c r="B209" s="90" t="s">
        <v>2</v>
      </c>
      <c r="C209" s="89">
        <v>65</v>
      </c>
      <c r="D209" s="89">
        <v>51.9</v>
      </c>
      <c r="E209" s="90">
        <v>16.100000000000001</v>
      </c>
      <c r="F209" s="351">
        <f>[3]TabellenEE!$J$10</f>
        <v>108.86666666666666</v>
      </c>
      <c r="G209" s="350">
        <f>E209+E$212*C$199</f>
        <v>22.85</v>
      </c>
      <c r="H209" s="89">
        <f>E209/D209</f>
        <v>0.31021194605009639</v>
      </c>
      <c r="I209" s="352">
        <f t="shared" si="115"/>
        <v>108.86666666666666</v>
      </c>
      <c r="J209" s="144">
        <f t="shared" si="115"/>
        <v>22.85</v>
      </c>
      <c r="K209" s="115">
        <f>I209-J209</f>
        <v>86.016666666666652</v>
      </c>
      <c r="L209" s="353" t="s">
        <v>536</v>
      </c>
      <c r="M209" s="89">
        <f t="shared" ref="M209:N213" si="116">D186</f>
        <v>66</v>
      </c>
      <c r="N209" s="89">
        <f t="shared" si="116"/>
        <v>91</v>
      </c>
      <c r="O209" s="91">
        <f>N209</f>
        <v>91</v>
      </c>
      <c r="P209" s="115">
        <f t="shared" ref="P209:P213" si="117">O209-N209</f>
        <v>0</v>
      </c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</row>
    <row r="210" spans="1:66" x14ac:dyDescent="0.25">
      <c r="A210" s="89"/>
      <c r="B210" s="90" t="s">
        <v>3</v>
      </c>
      <c r="C210" s="89">
        <v>120</v>
      </c>
      <c r="D210" s="89">
        <v>75</v>
      </c>
      <c r="E210" s="89"/>
      <c r="F210" s="351">
        <f>[3]TabellenEE!J13</f>
        <v>75</v>
      </c>
      <c r="G210" s="350"/>
      <c r="H210" s="89"/>
      <c r="I210" s="352">
        <f t="shared" si="115"/>
        <v>75</v>
      </c>
      <c r="J210" s="144">
        <f t="shared" si="115"/>
        <v>0</v>
      </c>
      <c r="K210" s="89"/>
      <c r="L210" s="353" t="s">
        <v>201</v>
      </c>
      <c r="M210" s="89">
        <f t="shared" si="116"/>
        <v>90</v>
      </c>
      <c r="N210" s="89">
        <f t="shared" si="116"/>
        <v>136</v>
      </c>
      <c r="O210" s="91">
        <f t="shared" ref="O210:O213" si="118">N210</f>
        <v>136</v>
      </c>
      <c r="P210" s="115">
        <f t="shared" si="117"/>
        <v>0</v>
      </c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</row>
    <row r="211" spans="1:66" x14ac:dyDescent="0.25">
      <c r="A211" s="89"/>
      <c r="B211" s="90" t="s">
        <v>4</v>
      </c>
      <c r="C211" s="89">
        <v>341</v>
      </c>
      <c r="D211" s="89">
        <v>68</v>
      </c>
      <c r="E211" s="89"/>
      <c r="F211" s="351">
        <f>[3]TabellenEE!J14</f>
        <v>68</v>
      </c>
      <c r="G211" s="350"/>
      <c r="H211" s="89"/>
      <c r="I211" s="352">
        <f t="shared" si="115"/>
        <v>68</v>
      </c>
      <c r="J211" s="144">
        <f t="shared" si="115"/>
        <v>0</v>
      </c>
      <c r="K211" s="90" t="s">
        <v>537</v>
      </c>
      <c r="L211" s="353" t="s">
        <v>538</v>
      </c>
      <c r="M211" s="89">
        <f t="shared" si="116"/>
        <v>154</v>
      </c>
      <c r="N211" s="89">
        <f t="shared" si="116"/>
        <v>180</v>
      </c>
      <c r="O211" s="91">
        <f t="shared" si="118"/>
        <v>180</v>
      </c>
      <c r="P211" s="115">
        <f t="shared" si="117"/>
        <v>0</v>
      </c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</row>
    <row r="212" spans="1:66" x14ac:dyDescent="0.25">
      <c r="A212" s="89"/>
      <c r="B212" s="90" t="s">
        <v>199</v>
      </c>
      <c r="C212" s="89">
        <v>211</v>
      </c>
      <c r="D212" s="89">
        <v>70.599999999999994</v>
      </c>
      <c r="E212" s="89">
        <v>13.5</v>
      </c>
      <c r="F212" s="349">
        <v>0</v>
      </c>
      <c r="G212" s="350"/>
      <c r="H212" s="89">
        <f>E212/D212</f>
        <v>0.19121813031161475</v>
      </c>
      <c r="I212" s="352">
        <f t="shared" si="115"/>
        <v>0</v>
      </c>
      <c r="J212" s="144">
        <f t="shared" si="115"/>
        <v>0</v>
      </c>
      <c r="K212" s="91">
        <f>54.2/(54.2+2.9)</f>
        <v>0.94921190893169882</v>
      </c>
      <c r="L212" s="353" t="s">
        <v>30</v>
      </c>
      <c r="M212" s="89">
        <f t="shared" si="116"/>
        <v>39</v>
      </c>
      <c r="N212" s="89">
        <f t="shared" si="116"/>
        <v>42</v>
      </c>
      <c r="O212" s="91">
        <f t="shared" si="118"/>
        <v>42</v>
      </c>
      <c r="P212" s="115">
        <f t="shared" si="117"/>
        <v>0</v>
      </c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</row>
    <row r="213" spans="1:66" x14ac:dyDescent="0.25">
      <c r="A213" s="89"/>
      <c r="B213" s="90" t="s">
        <v>9</v>
      </c>
      <c r="C213" s="89">
        <f>SUM(C206:C212)</f>
        <v>1339</v>
      </c>
      <c r="D213" s="89">
        <f>SUM(D206:D212)</f>
        <v>805.9</v>
      </c>
      <c r="E213" s="117">
        <f>SUM(E206:E212)</f>
        <v>105.69999999999999</v>
      </c>
      <c r="F213" s="349">
        <f>SUM(F206:F212)</f>
        <v>849.23333333333335</v>
      </c>
      <c r="G213" s="350">
        <f>SUM(G206:G212)</f>
        <v>105.69999999999999</v>
      </c>
      <c r="H213" s="89"/>
      <c r="I213" s="355">
        <f>SUM(I206:I212)</f>
        <v>849.23333333333335</v>
      </c>
      <c r="J213" s="347">
        <f>SUM(J206:J212)</f>
        <v>105.69999999999999</v>
      </c>
      <c r="K213" s="89"/>
      <c r="L213" s="353" t="s">
        <v>14</v>
      </c>
      <c r="M213" s="89">
        <f t="shared" si="116"/>
        <v>41</v>
      </c>
      <c r="N213" s="89">
        <f t="shared" si="116"/>
        <v>64</v>
      </c>
      <c r="O213" s="91">
        <f t="shared" si="118"/>
        <v>64</v>
      </c>
      <c r="P213" s="115">
        <f t="shared" si="117"/>
        <v>0</v>
      </c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</row>
    <row r="214" spans="1:66" x14ac:dyDescent="0.25">
      <c r="A214" s="89"/>
      <c r="B214" s="90"/>
      <c r="C214" s="89"/>
      <c r="D214" s="89">
        <f>D207+D208+D209+D212+11.4-E213</f>
        <v>275.59999999999997</v>
      </c>
      <c r="E214" s="89"/>
      <c r="F214" s="89"/>
      <c r="G214" s="89"/>
      <c r="H214" s="89"/>
      <c r="I214" s="356">
        <f>I213/C213</f>
        <v>0.63422952452078662</v>
      </c>
      <c r="J214" s="89"/>
      <c r="K214" s="89"/>
      <c r="L214" s="89"/>
      <c r="M214" s="89">
        <f>SUM(M206:M213)</f>
        <v>599</v>
      </c>
      <c r="N214" s="89">
        <f>SUM(N206:N213)</f>
        <v>786</v>
      </c>
      <c r="O214" s="115">
        <f>SUM(O206:O213)</f>
        <v>831.93333333333339</v>
      </c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</row>
    <row r="215" spans="1:66" ht="15.75" thickBot="1" x14ac:dyDescent="0.3">
      <c r="A215" s="89"/>
      <c r="B215" s="117" t="s">
        <v>178</v>
      </c>
      <c r="C215" s="90" t="s">
        <v>539</v>
      </c>
      <c r="D215" s="89"/>
      <c r="E215" s="89"/>
      <c r="F215" s="89"/>
      <c r="G215" s="89"/>
      <c r="H215" s="89"/>
      <c r="I215" s="89"/>
      <c r="J215" s="89"/>
      <c r="K215" s="89"/>
      <c r="L215" s="90" t="s">
        <v>540</v>
      </c>
      <c r="M215" s="356">
        <f>M214/D183</f>
        <v>0.96395236562600561</v>
      </c>
      <c r="N215" s="356">
        <f>N214/D213</f>
        <v>0.9753071100632833</v>
      </c>
      <c r="O215" s="356">
        <f>O214/I213</f>
        <v>0.9796286846960004</v>
      </c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</row>
    <row r="216" spans="1:66" x14ac:dyDescent="0.25">
      <c r="A216" s="89"/>
      <c r="B216" s="151" t="s">
        <v>180</v>
      </c>
      <c r="C216" s="153">
        <v>11.4</v>
      </c>
      <c r="D216" s="89"/>
      <c r="E216" s="89"/>
      <c r="F216" s="89"/>
      <c r="G216" s="89"/>
      <c r="H216" s="89"/>
      <c r="I216" s="115">
        <f>I207-J207+I208-J208+I209-J209</f>
        <v>307.5333333333333</v>
      </c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</row>
    <row r="217" spans="1:66" x14ac:dyDescent="0.25">
      <c r="B217" s="154" t="s">
        <v>183</v>
      </c>
      <c r="C217" s="156">
        <v>65</v>
      </c>
    </row>
    <row r="218" spans="1:66" x14ac:dyDescent="0.25">
      <c r="B218" s="154" t="s">
        <v>185</v>
      </c>
      <c r="C218" s="156">
        <v>102.3</v>
      </c>
    </row>
    <row r="219" spans="1:66" x14ac:dyDescent="0.25">
      <c r="B219" s="154" t="s">
        <v>186</v>
      </c>
      <c r="C219" s="156">
        <v>22.7</v>
      </c>
    </row>
    <row r="220" spans="1:66" x14ac:dyDescent="0.25">
      <c r="B220" s="154" t="s">
        <v>188</v>
      </c>
      <c r="C220" s="156">
        <v>14.7</v>
      </c>
    </row>
    <row r="221" spans="1:66" x14ac:dyDescent="0.25">
      <c r="C221" s="89">
        <f>SUM(C216:C220)</f>
        <v>216.09999999999997</v>
      </c>
    </row>
    <row r="223" spans="1:66" x14ac:dyDescent="0.25">
      <c r="T223">
        <f>[3]TabellenEE!J67/0.9</f>
        <v>316.66666666666669</v>
      </c>
    </row>
    <row r="224" spans="1:66" x14ac:dyDescent="0.25">
      <c r="D224" s="92" t="s">
        <v>541</v>
      </c>
      <c r="F224" s="185"/>
      <c r="G224" s="185"/>
      <c r="H224" s="185"/>
      <c r="I224" s="185"/>
    </row>
    <row r="225" spans="1:66" x14ac:dyDescent="0.25">
      <c r="D225" s="353" t="s">
        <v>542</v>
      </c>
      <c r="E225" s="357">
        <f t="shared" ref="E225:E232" si="119">SUM(F225:P225)</f>
        <v>1</v>
      </c>
      <c r="F225" s="358">
        <f>F240/$E240</f>
        <v>3.5744147157190639E-2</v>
      </c>
      <c r="G225" s="358">
        <f>G240/$E240</f>
        <v>0.38252508361204013</v>
      </c>
      <c r="H225" s="358"/>
      <c r="I225" s="358">
        <f>I240/$E240</f>
        <v>0.31202968227424754</v>
      </c>
      <c r="J225" s="358"/>
      <c r="K225" s="358">
        <f>K240/$E240</f>
        <v>0.26970108695652167</v>
      </c>
      <c r="L225" s="358"/>
      <c r="M225" s="358"/>
      <c r="N225" s="358"/>
      <c r="O225" s="358">
        <f>O240/$E240</f>
        <v>0</v>
      </c>
      <c r="P225" s="358"/>
    </row>
    <row r="226" spans="1:66" x14ac:dyDescent="0.25">
      <c r="D226" s="353" t="s">
        <v>543</v>
      </c>
      <c r="E226" s="357">
        <f t="shared" si="119"/>
        <v>1.0000000000000002</v>
      </c>
      <c r="F226" s="358"/>
      <c r="G226" s="358"/>
      <c r="H226" s="358">
        <f>H238/$Q238</f>
        <v>0.52034058656575222</v>
      </c>
      <c r="I226" s="358"/>
      <c r="J226" s="358">
        <f>J238/$Q238</f>
        <v>0.26348155156102182</v>
      </c>
      <c r="K226" s="358"/>
      <c r="L226" s="358">
        <f>L238/$Q238</f>
        <v>0.21617786187322616</v>
      </c>
      <c r="M226" s="358"/>
      <c r="N226" s="358"/>
      <c r="O226" s="358"/>
      <c r="P226" s="358">
        <f>P238/$Q238</f>
        <v>0</v>
      </c>
    </row>
    <row r="227" spans="1:66" x14ac:dyDescent="0.25">
      <c r="D227" s="353" t="s">
        <v>544</v>
      </c>
      <c r="E227" s="357">
        <f t="shared" si="119"/>
        <v>0.99999999999999989</v>
      </c>
      <c r="F227" s="358">
        <f>F225/(SUM($F225:$O225)-$I225)</f>
        <v>5.1955943790353218E-2</v>
      </c>
      <c r="G227" s="358">
        <f>G225/(SUM($F225:$O225)-$I225)</f>
        <v>0.55601974933535891</v>
      </c>
      <c r="H227" s="358"/>
      <c r="I227" s="358">
        <v>0</v>
      </c>
      <c r="J227" s="358"/>
      <c r="K227" s="358">
        <f>K225/(SUM($F225:$O225)-$I225)</f>
        <v>0.3920243068742878</v>
      </c>
      <c r="L227" s="358"/>
      <c r="M227" s="358"/>
      <c r="N227" s="358"/>
      <c r="O227" s="358">
        <f>O225/(SUM($F225:$O225)-$I225)</f>
        <v>0</v>
      </c>
      <c r="P227" s="358"/>
    </row>
    <row r="228" spans="1:66" x14ac:dyDescent="0.25">
      <c r="C228" s="92"/>
      <c r="D228" s="353" t="str">
        <f t="shared" ref="D228:D231" si="120">C243</f>
        <v>Wärmepumpe Heizen &lt; 100°C</v>
      </c>
      <c r="E228" s="357">
        <f t="shared" si="119"/>
        <v>1</v>
      </c>
      <c r="F228" s="358">
        <f t="shared" ref="F228:P232" si="121">F243/$E243</f>
        <v>9.0342349957734588E-3</v>
      </c>
      <c r="G228" s="358">
        <f t="shared" si="121"/>
        <v>9.6682163989856296E-2</v>
      </c>
      <c r="H228" s="358">
        <f t="shared" si="121"/>
        <v>0</v>
      </c>
      <c r="I228" s="358">
        <f t="shared" si="121"/>
        <v>7.8864644970414219E-2</v>
      </c>
      <c r="J228" s="358">
        <f t="shared" si="121"/>
        <v>0</v>
      </c>
      <c r="K228" s="358">
        <f t="shared" si="121"/>
        <v>6.8166208791208771E-2</v>
      </c>
      <c r="L228" s="358">
        <f t="shared" si="121"/>
        <v>0</v>
      </c>
      <c r="M228" s="358">
        <f t="shared" si="121"/>
        <v>0</v>
      </c>
      <c r="N228" s="358">
        <f t="shared" si="121"/>
        <v>0.74725274725274726</v>
      </c>
      <c r="O228" s="358">
        <f t="shared" si="121"/>
        <v>0</v>
      </c>
      <c r="P228" s="358">
        <f t="shared" si="121"/>
        <v>0</v>
      </c>
    </row>
    <row r="229" spans="1:66" x14ac:dyDescent="0.25">
      <c r="D229" s="353" t="str">
        <f t="shared" si="120"/>
        <v>Wärme &gt; 100°C</v>
      </c>
      <c r="E229" s="357">
        <f t="shared" si="119"/>
        <v>1.0000000000000002</v>
      </c>
      <c r="F229" s="358">
        <f t="shared" si="121"/>
        <v>0.56220021087448357</v>
      </c>
      <c r="G229" s="358">
        <f t="shared" si="121"/>
        <v>7.0317110958095619E-2</v>
      </c>
      <c r="H229" s="358">
        <f t="shared" si="121"/>
        <v>0.13557311376537373</v>
      </c>
      <c r="I229" s="358">
        <f t="shared" si="121"/>
        <v>5.7358397476883739E-2</v>
      </c>
      <c r="J229" s="358">
        <f t="shared" si="121"/>
        <v>6.8649294879375614E-2</v>
      </c>
      <c r="K229" s="358">
        <f t="shared" si="121"/>
        <v>4.9577405690537077E-2</v>
      </c>
      <c r="L229" s="358">
        <f t="shared" si="121"/>
        <v>5.6324466355250721E-2</v>
      </c>
      <c r="M229" s="358">
        <f t="shared" si="121"/>
        <v>0</v>
      </c>
      <c r="N229" s="358">
        <f t="shared" si="121"/>
        <v>0</v>
      </c>
      <c r="O229" s="358">
        <f t="shared" si="121"/>
        <v>0</v>
      </c>
      <c r="P229" s="358">
        <f t="shared" si="121"/>
        <v>0</v>
      </c>
    </row>
    <row r="230" spans="1:66" x14ac:dyDescent="0.25">
      <c r="D230" s="353" t="str">
        <f t="shared" si="120"/>
        <v>Wärme &lt; 100°C</v>
      </c>
      <c r="E230" s="357">
        <f t="shared" si="119"/>
        <v>1</v>
      </c>
      <c r="F230" s="358">
        <f>F245/$E245</f>
        <v>0.5769881556683587</v>
      </c>
      <c r="G230" s="358">
        <f t="shared" si="121"/>
        <v>0</v>
      </c>
      <c r="H230" s="358">
        <f t="shared" si="121"/>
        <v>0</v>
      </c>
      <c r="I230" s="358">
        <f t="shared" si="121"/>
        <v>0</v>
      </c>
      <c r="J230" s="358">
        <f t="shared" si="121"/>
        <v>0</v>
      </c>
      <c r="K230" s="358">
        <f t="shared" si="121"/>
        <v>0</v>
      </c>
      <c r="L230" s="358">
        <f t="shared" si="121"/>
        <v>0</v>
      </c>
      <c r="M230" s="358">
        <f t="shared" si="121"/>
        <v>0.42301184433164124</v>
      </c>
      <c r="N230" s="358">
        <f t="shared" si="121"/>
        <v>0</v>
      </c>
      <c r="O230" s="358">
        <f t="shared" si="121"/>
        <v>0</v>
      </c>
      <c r="P230" s="358">
        <f t="shared" si="121"/>
        <v>0</v>
      </c>
    </row>
    <row r="231" spans="1:66" x14ac:dyDescent="0.25">
      <c r="A231" s="92" t="s">
        <v>545</v>
      </c>
      <c r="B231" s="93">
        <f>M266/M238</f>
        <v>0.92</v>
      </c>
      <c r="D231" s="353" t="str">
        <f t="shared" si="120"/>
        <v>Kraftstoffe</v>
      </c>
      <c r="E231" s="357">
        <f t="shared" si="119"/>
        <v>1</v>
      </c>
      <c r="F231" s="358">
        <f>F246/$E246</f>
        <v>0.54047619047619044</v>
      </c>
      <c r="G231" s="358">
        <f t="shared" si="121"/>
        <v>0</v>
      </c>
      <c r="H231" s="358">
        <f t="shared" si="121"/>
        <v>0.23910888858854806</v>
      </c>
      <c r="I231" s="358">
        <f t="shared" si="121"/>
        <v>0</v>
      </c>
      <c r="J231" s="358">
        <f t="shared" si="121"/>
        <v>0.12107604631256479</v>
      </c>
      <c r="K231" s="358">
        <f t="shared" si="121"/>
        <v>0</v>
      </c>
      <c r="L231" s="358">
        <f t="shared" si="121"/>
        <v>9.9338874622696777E-2</v>
      </c>
      <c r="M231" s="358">
        <f t="shared" si="121"/>
        <v>0</v>
      </c>
      <c r="N231" s="358">
        <f t="shared" si="121"/>
        <v>0</v>
      </c>
      <c r="O231" s="358">
        <f t="shared" si="121"/>
        <v>0</v>
      </c>
      <c r="P231" s="358">
        <f t="shared" si="121"/>
        <v>0</v>
      </c>
    </row>
    <row r="232" spans="1:66" x14ac:dyDescent="0.25">
      <c r="D232" s="353" t="str">
        <f>C247</f>
        <v>Gas</v>
      </c>
      <c r="E232" s="357">
        <f t="shared" si="119"/>
        <v>1</v>
      </c>
      <c r="F232" s="358">
        <f>F247/$E247</f>
        <v>0.22968749999999999</v>
      </c>
      <c r="G232" s="358">
        <f t="shared" si="121"/>
        <v>0</v>
      </c>
      <c r="H232" s="358">
        <f t="shared" si="121"/>
        <v>0.40082485808893098</v>
      </c>
      <c r="I232" s="358">
        <f t="shared" si="121"/>
        <v>0</v>
      </c>
      <c r="J232" s="358">
        <f t="shared" si="121"/>
        <v>0.20296313268684962</v>
      </c>
      <c r="K232" s="358">
        <f t="shared" si="121"/>
        <v>0</v>
      </c>
      <c r="L232" s="358">
        <f t="shared" si="121"/>
        <v>0.16652450922421952</v>
      </c>
      <c r="M232" s="358">
        <f t="shared" si="121"/>
        <v>0</v>
      </c>
      <c r="N232" s="358">
        <f t="shared" si="121"/>
        <v>0</v>
      </c>
      <c r="O232" s="358">
        <f t="shared" si="121"/>
        <v>0</v>
      </c>
      <c r="P232" s="358">
        <f t="shared" si="121"/>
        <v>0</v>
      </c>
    </row>
    <row r="233" spans="1:66" ht="18" x14ac:dyDescent="0.25">
      <c r="C233" s="359" t="s">
        <v>546</v>
      </c>
      <c r="D233" s="353"/>
      <c r="F233" s="360"/>
      <c r="G233" s="185"/>
      <c r="H233" s="360"/>
      <c r="I233" s="185"/>
      <c r="J233" s="360"/>
      <c r="L233" s="360"/>
      <c r="P233" s="360"/>
    </row>
    <row r="234" spans="1:66" x14ac:dyDescent="0.25">
      <c r="E234" s="92" t="s">
        <v>13</v>
      </c>
      <c r="F234" s="92" t="s">
        <v>547</v>
      </c>
      <c r="G234" s="185" t="s">
        <v>0</v>
      </c>
      <c r="I234" s="185" t="s">
        <v>1</v>
      </c>
      <c r="K234" s="185" t="s">
        <v>2</v>
      </c>
      <c r="M234" t="s">
        <v>3</v>
      </c>
      <c r="N234" t="s">
        <v>4</v>
      </c>
      <c r="O234" t="s">
        <v>199</v>
      </c>
    </row>
    <row r="235" spans="1:66" x14ac:dyDescent="0.25">
      <c r="C235" s="353" t="s">
        <v>92</v>
      </c>
      <c r="D235" s="92" t="s">
        <v>548</v>
      </c>
      <c r="H235" s="92" t="s">
        <v>7</v>
      </c>
      <c r="J235" s="92" t="s">
        <v>7</v>
      </c>
      <c r="L235" s="92" t="s">
        <v>7</v>
      </c>
      <c r="P235" s="92" t="s">
        <v>7</v>
      </c>
      <c r="Q235" s="92" t="s">
        <v>549</v>
      </c>
    </row>
    <row r="236" spans="1:66" x14ac:dyDescent="0.25">
      <c r="A236" s="92" t="s">
        <v>550</v>
      </c>
      <c r="C236" s="182" t="s">
        <v>245</v>
      </c>
      <c r="E236" s="316">
        <f>SUM(F236:P236)</f>
        <v>1339</v>
      </c>
      <c r="F236" s="316">
        <f>C206</f>
        <v>307</v>
      </c>
      <c r="G236" s="316">
        <f>C207</f>
        <v>202</v>
      </c>
      <c r="H236" s="316"/>
      <c r="I236" s="361">
        <f>C208</f>
        <v>93</v>
      </c>
      <c r="J236" s="316"/>
      <c r="K236" s="316">
        <f>C209</f>
        <v>65</v>
      </c>
      <c r="L236" s="316"/>
      <c r="M236" s="362">
        <f>C210</f>
        <v>120</v>
      </c>
      <c r="N236" s="363">
        <f>C211</f>
        <v>341</v>
      </c>
      <c r="O236" s="362">
        <f>C212</f>
        <v>211</v>
      </c>
      <c r="P236" s="362"/>
      <c r="S236" s="92" t="s">
        <v>551</v>
      </c>
    </row>
    <row r="237" spans="1:66" x14ac:dyDescent="0.25">
      <c r="C237" s="92" t="s">
        <v>552</v>
      </c>
      <c r="E237" s="316">
        <f>SUM(F237:P237)</f>
        <v>849.23333333333335</v>
      </c>
      <c r="F237" s="316">
        <f>I206</f>
        <v>293</v>
      </c>
      <c r="G237" s="316">
        <f>I207</f>
        <v>177</v>
      </c>
      <c r="H237" s="316"/>
      <c r="I237" s="361">
        <f>I208</f>
        <v>127.36666666666667</v>
      </c>
      <c r="J237" s="316"/>
      <c r="K237" s="316">
        <f>I209</f>
        <v>108.86666666666666</v>
      </c>
      <c r="L237" s="316"/>
      <c r="M237" s="362">
        <f>I210</f>
        <v>75</v>
      </c>
      <c r="N237" s="363">
        <f>I211</f>
        <v>68</v>
      </c>
      <c r="O237" s="362">
        <f>I212</f>
        <v>0</v>
      </c>
      <c r="P237" s="362"/>
      <c r="S237" s="182">
        <v>33</v>
      </c>
    </row>
    <row r="238" spans="1:66" x14ac:dyDescent="0.25">
      <c r="A238" s="182"/>
      <c r="B238" s="182"/>
      <c r="C238" s="182" t="s">
        <v>552</v>
      </c>
      <c r="D238" s="182"/>
      <c r="E238" s="183">
        <f>SUM(F238:P238)</f>
        <v>849.23333333333335</v>
      </c>
      <c r="F238" s="183">
        <f>SUM(A163:E163)</f>
        <v>293</v>
      </c>
      <c r="G238" s="183">
        <f>G237-H238</f>
        <v>122</v>
      </c>
      <c r="H238" s="183">
        <f>J207</f>
        <v>55</v>
      </c>
      <c r="I238" s="183">
        <f>I237-J238</f>
        <v>99.51666666666668</v>
      </c>
      <c r="J238" s="183">
        <f>J208</f>
        <v>27.85</v>
      </c>
      <c r="K238" s="183">
        <f>K237-L238</f>
        <v>86.016666666666652</v>
      </c>
      <c r="L238" s="183">
        <f>J209</f>
        <v>22.85</v>
      </c>
      <c r="M238" s="364">
        <v>75</v>
      </c>
      <c r="N238" s="364">
        <v>68</v>
      </c>
      <c r="O238" s="364">
        <f>O237-P238</f>
        <v>0</v>
      </c>
      <c r="P238" s="364">
        <f>J212</f>
        <v>0</v>
      </c>
      <c r="Q238" s="322">
        <f>H238+J238+L238+P238</f>
        <v>105.69999999999999</v>
      </c>
      <c r="R238" s="182" t="s">
        <v>553</v>
      </c>
      <c r="S238" s="322">
        <f>S249/S250</f>
        <v>13.411764705882353</v>
      </c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  <c r="AX238" s="182"/>
      <c r="AY238" s="182"/>
      <c r="AZ238" s="182"/>
      <c r="BA238" s="182"/>
      <c r="BB238" s="182"/>
      <c r="BC238" s="182"/>
      <c r="BD238" s="182"/>
      <c r="BE238" s="182"/>
      <c r="BF238" s="182"/>
      <c r="BG238" s="182"/>
      <c r="BH238" s="182"/>
      <c r="BI238" s="182"/>
      <c r="BJ238" s="182"/>
      <c r="BK238" s="182"/>
      <c r="BL238" s="182"/>
      <c r="BM238" s="182"/>
      <c r="BN238" s="182"/>
    </row>
    <row r="239" spans="1:66" x14ac:dyDescent="0.25">
      <c r="A239" s="182"/>
      <c r="B239" s="182"/>
      <c r="C239" s="182" t="s">
        <v>554</v>
      </c>
      <c r="D239" s="182"/>
      <c r="E239" s="183"/>
      <c r="F239" s="183"/>
      <c r="G239" s="183"/>
      <c r="H239" s="183"/>
      <c r="I239" s="183"/>
      <c r="J239" s="183"/>
      <c r="K239" s="183"/>
      <c r="L239" s="183"/>
      <c r="M239" s="364"/>
      <c r="N239" s="364"/>
      <c r="O239" s="364"/>
      <c r="P239" s="364"/>
      <c r="Q239" s="322"/>
      <c r="R239" s="182"/>
      <c r="S239" s="32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  <c r="AX239" s="182"/>
      <c r="AY239" s="182"/>
      <c r="AZ239" s="182"/>
      <c r="BA239" s="182"/>
      <c r="BB239" s="182"/>
      <c r="BC239" s="182"/>
      <c r="BD239" s="182"/>
      <c r="BE239" s="182"/>
      <c r="BF239" s="182"/>
      <c r="BG239" s="182"/>
      <c r="BH239" s="182"/>
      <c r="BI239" s="182"/>
      <c r="BJ239" s="182"/>
      <c r="BK239" s="182"/>
      <c r="BL239" s="182"/>
      <c r="BM239" s="182"/>
      <c r="BN239" s="182"/>
    </row>
    <row r="240" spans="1:66" x14ac:dyDescent="0.25">
      <c r="C240" s="92" t="s">
        <v>159</v>
      </c>
      <c r="D240" s="365">
        <f>O206</f>
        <v>318.93333333333334</v>
      </c>
      <c r="E240" s="316">
        <f t="shared" ref="E240:E249" si="122">SUM(F240:P240)</f>
        <v>318.93333333333334</v>
      </c>
      <c r="F240" s="316">
        <f>C216</f>
        <v>11.4</v>
      </c>
      <c r="G240" s="316">
        <f>G238</f>
        <v>122</v>
      </c>
      <c r="H240" s="316"/>
      <c r="I240" s="316">
        <f>I238</f>
        <v>99.51666666666668</v>
      </c>
      <c r="J240" s="316"/>
      <c r="K240" s="316">
        <f>K238</f>
        <v>86.016666666666652</v>
      </c>
      <c r="L240" s="316"/>
      <c r="M240" s="363"/>
      <c r="N240" s="363"/>
      <c r="O240" s="363">
        <f>(I212-J212)*K212</f>
        <v>0</v>
      </c>
      <c r="P240" s="363"/>
      <c r="Q240" s="185"/>
      <c r="S240" s="185">
        <f>F240</f>
        <v>11.4</v>
      </c>
    </row>
    <row r="241" spans="1:66" x14ac:dyDescent="0.25">
      <c r="C241" s="354" t="s">
        <v>534</v>
      </c>
      <c r="D241" s="365"/>
      <c r="E241" s="316">
        <f t="shared" si="122"/>
        <v>23</v>
      </c>
      <c r="F241" s="316">
        <f>F243</f>
        <v>0.82211538461538469</v>
      </c>
      <c r="G241" s="316">
        <f>G243</f>
        <v>8.7980769230769234</v>
      </c>
      <c r="H241" s="316"/>
      <c r="I241" s="316">
        <f>I243</f>
        <v>7.1766826923076934</v>
      </c>
      <c r="J241" s="316"/>
      <c r="K241" s="316">
        <f>K243</f>
        <v>6.2031249999999982</v>
      </c>
      <c r="L241" s="316"/>
      <c r="M241" s="363"/>
      <c r="N241" s="363"/>
      <c r="O241" s="316">
        <f>O243</f>
        <v>0</v>
      </c>
      <c r="P241" s="363"/>
      <c r="Q241" s="185"/>
    </row>
    <row r="242" spans="1:66" x14ac:dyDescent="0.25">
      <c r="C242" s="354" t="s">
        <v>535</v>
      </c>
      <c r="D242" s="365"/>
      <c r="E242" s="316">
        <f t="shared" si="122"/>
        <v>25.000000000000004</v>
      </c>
      <c r="F242" s="316">
        <f>F275</f>
        <v>0.893603678929766</v>
      </c>
      <c r="G242" s="316">
        <f>G275</f>
        <v>9.5631270903010037</v>
      </c>
      <c r="H242" s="316"/>
      <c r="I242" s="316">
        <f>I275</f>
        <v>7.8007420568561887</v>
      </c>
      <c r="J242" s="316"/>
      <c r="K242" s="316">
        <f>K275</f>
        <v>6.7425271739130421</v>
      </c>
      <c r="L242" s="316"/>
      <c r="M242" s="363"/>
      <c r="N242" s="363"/>
      <c r="O242" s="316">
        <f>O275</f>
        <v>0</v>
      </c>
      <c r="P242" s="363"/>
      <c r="Q242" s="185"/>
    </row>
    <row r="243" spans="1:66" x14ac:dyDescent="0.25">
      <c r="A243" s="92" t="s">
        <v>555</v>
      </c>
      <c r="B243">
        <f>D243-N243</f>
        <v>23</v>
      </c>
      <c r="C243" s="92" t="s">
        <v>536</v>
      </c>
      <c r="D243" s="366">
        <f>O209</f>
        <v>91</v>
      </c>
      <c r="E243" s="316">
        <f t="shared" si="122"/>
        <v>91</v>
      </c>
      <c r="F243" s="316">
        <f>F$225*$B243</f>
        <v>0.82211538461538469</v>
      </c>
      <c r="G243" s="316">
        <f>G225*$B243</f>
        <v>8.7980769230769234</v>
      </c>
      <c r="H243" s="316"/>
      <c r="I243" s="316">
        <f>I225*$B243</f>
        <v>7.1766826923076934</v>
      </c>
      <c r="J243" s="316"/>
      <c r="K243" s="316">
        <f>K225*$B243</f>
        <v>6.2031249999999982</v>
      </c>
      <c r="L243" s="316"/>
      <c r="M243" s="363"/>
      <c r="N243" s="363">
        <f>N238</f>
        <v>68</v>
      </c>
      <c r="O243" s="316">
        <f>O225*$B243</f>
        <v>0</v>
      </c>
      <c r="P243" s="363"/>
      <c r="Q243" s="185"/>
    </row>
    <row r="244" spans="1:66" x14ac:dyDescent="0.25">
      <c r="C244" s="92" t="s">
        <v>201</v>
      </c>
      <c r="D244" s="366">
        <f>O210</f>
        <v>136</v>
      </c>
      <c r="E244" s="316">
        <f t="shared" si="122"/>
        <v>136</v>
      </c>
      <c r="F244" s="316">
        <f>C217+F275+F276</f>
        <v>76.459228678929762</v>
      </c>
      <c r="G244" s="316">
        <f t="shared" ref="G244:P244" si="123">G275+G276</f>
        <v>9.5631270903010037</v>
      </c>
      <c r="H244" s="316">
        <f t="shared" si="123"/>
        <v>18.437943472090826</v>
      </c>
      <c r="I244" s="316">
        <f t="shared" si="123"/>
        <v>7.8007420568561887</v>
      </c>
      <c r="J244" s="316">
        <f t="shared" si="123"/>
        <v>9.3363041035950829</v>
      </c>
      <c r="K244" s="316">
        <f t="shared" si="123"/>
        <v>6.7425271739130421</v>
      </c>
      <c r="L244" s="316">
        <f t="shared" si="123"/>
        <v>7.6601274243140978</v>
      </c>
      <c r="M244" s="316">
        <f t="shared" si="123"/>
        <v>0</v>
      </c>
      <c r="N244" s="316">
        <f t="shared" si="123"/>
        <v>0</v>
      </c>
      <c r="O244" s="316">
        <f t="shared" si="123"/>
        <v>0</v>
      </c>
      <c r="P244" s="316">
        <f t="shared" si="123"/>
        <v>0</v>
      </c>
      <c r="Q244" s="322">
        <f>H244+J244+L244+P244</f>
        <v>35.434375000000003</v>
      </c>
    </row>
    <row r="245" spans="1:66" x14ac:dyDescent="0.25">
      <c r="C245" s="92" t="s">
        <v>538</v>
      </c>
      <c r="D245" s="366">
        <f>O211</f>
        <v>180</v>
      </c>
      <c r="E245" s="316">
        <f t="shared" si="122"/>
        <v>177.3</v>
      </c>
      <c r="F245" s="316">
        <f>C218</f>
        <v>102.3</v>
      </c>
      <c r="G245" s="316"/>
      <c r="H245" s="316"/>
      <c r="I245" s="316"/>
      <c r="J245" s="316"/>
      <c r="K245" s="316"/>
      <c r="L245" s="316"/>
      <c r="M245" s="363">
        <f>M238</f>
        <v>75</v>
      </c>
      <c r="N245" s="363"/>
      <c r="O245" s="363">
        <f>(I212-J212)*(1-K212)</f>
        <v>0</v>
      </c>
      <c r="P245" s="363"/>
      <c r="Q245" s="185"/>
    </row>
    <row r="246" spans="1:66" x14ac:dyDescent="0.25">
      <c r="A246" s="92" t="s">
        <v>556</v>
      </c>
      <c r="B246" s="185">
        <f>D246-F246</f>
        <v>19.3</v>
      </c>
      <c r="C246" s="92" t="s">
        <v>30</v>
      </c>
      <c r="D246" s="366">
        <f>O212</f>
        <v>42</v>
      </c>
      <c r="E246" s="316">
        <f t="shared" si="122"/>
        <v>42</v>
      </c>
      <c r="F246" s="316">
        <f>C219</f>
        <v>22.7</v>
      </c>
      <c r="G246" s="316"/>
      <c r="H246" s="316">
        <f>H226*$B246</f>
        <v>10.042573320719018</v>
      </c>
      <c r="I246" s="316"/>
      <c r="J246" s="316">
        <f>J226*$B246</f>
        <v>5.0851939451277213</v>
      </c>
      <c r="K246" s="316"/>
      <c r="L246" s="316">
        <f>L226*$B246</f>
        <v>4.1722327341532646</v>
      </c>
      <c r="M246" s="363"/>
      <c r="N246" s="363"/>
      <c r="O246" s="363"/>
      <c r="P246" s="316">
        <f>P226*$B246</f>
        <v>0</v>
      </c>
      <c r="Q246" s="322">
        <f>H246+J246+L246+P246</f>
        <v>19.300000000000004</v>
      </c>
    </row>
    <row r="247" spans="1:66" x14ac:dyDescent="0.25">
      <c r="A247" s="92" t="s">
        <v>557</v>
      </c>
      <c r="B247" s="185">
        <f>D247-F247</f>
        <v>49.3</v>
      </c>
      <c r="C247" s="92" t="s">
        <v>14</v>
      </c>
      <c r="D247" s="366">
        <f>O213</f>
        <v>64</v>
      </c>
      <c r="E247" s="316">
        <f t="shared" si="122"/>
        <v>64</v>
      </c>
      <c r="F247" s="316">
        <f>C220</f>
        <v>14.7</v>
      </c>
      <c r="G247" s="316"/>
      <c r="H247" s="316">
        <f>H226*$B247</f>
        <v>25.652790917691583</v>
      </c>
      <c r="I247" s="316"/>
      <c r="J247" s="316">
        <f>J226*$B247</f>
        <v>12.989640491958376</v>
      </c>
      <c r="K247" s="316"/>
      <c r="L247" s="316">
        <f>L226*$B247</f>
        <v>10.657568590350049</v>
      </c>
      <c r="M247" s="363"/>
      <c r="N247" s="363"/>
      <c r="O247" s="363"/>
      <c r="P247" s="316">
        <f>P226*$B247</f>
        <v>0</v>
      </c>
      <c r="Q247" s="322">
        <f>H247+J247+L247+P247</f>
        <v>49.300000000000011</v>
      </c>
    </row>
    <row r="248" spans="1:66" x14ac:dyDescent="0.25">
      <c r="A248" s="92"/>
      <c r="B248" s="185"/>
      <c r="C248" s="354" t="s">
        <v>558</v>
      </c>
      <c r="D248" s="89"/>
      <c r="E248" s="316">
        <f t="shared" si="122"/>
        <v>35.434375000000003</v>
      </c>
      <c r="F248" s="316"/>
      <c r="G248" s="316"/>
      <c r="H248" s="316">
        <f>H276</f>
        <v>18.437943472090826</v>
      </c>
      <c r="I248" s="316"/>
      <c r="J248" s="316">
        <f>J276</f>
        <v>9.3363041035950829</v>
      </c>
      <c r="K248" s="316"/>
      <c r="L248" s="316">
        <f>L276</f>
        <v>7.6601274243140978</v>
      </c>
      <c r="M248" s="363"/>
      <c r="N248" s="363"/>
      <c r="O248" s="363"/>
      <c r="P248" s="316">
        <f t="shared" ref="P248" si="124">P276</f>
        <v>0</v>
      </c>
      <c r="Q248" s="322">
        <f>H248+J248+L248+P248</f>
        <v>35.434375000000003</v>
      </c>
    </row>
    <row r="249" spans="1:66" x14ac:dyDescent="0.25">
      <c r="A249" s="182"/>
      <c r="B249" s="182"/>
      <c r="C249" s="182"/>
      <c r="D249" s="367" t="s">
        <v>559</v>
      </c>
      <c r="E249" s="183">
        <f t="shared" si="122"/>
        <v>745.79895833333342</v>
      </c>
      <c r="F249" s="183">
        <f>F240+F244+F245+F246+F247+F243-F241-F242-F248</f>
        <v>226.66562499999998</v>
      </c>
      <c r="G249" s="183">
        <f>G240+G244+G245+G246+G247+G243-G241-G242-G248</f>
        <v>122</v>
      </c>
      <c r="H249" s="183">
        <f>H240+H244+H245+H246+H247+H243-H241-H242-H248</f>
        <v>35.695364238410605</v>
      </c>
      <c r="I249" s="183">
        <f>I240+I244+I245+I246+I247+I243-I241-I242-I248</f>
        <v>99.51666666666668</v>
      </c>
      <c r="J249" s="183">
        <f t="shared" ref="J249:P249" si="125">J240+J244+J245+J246+J247+J243-J241-J242-J248</f>
        <v>18.074834437086096</v>
      </c>
      <c r="K249" s="183">
        <f>K240+K244+K245+K246+K247+K243-K241-K242-K248</f>
        <v>86.016666666666652</v>
      </c>
      <c r="L249" s="183">
        <f t="shared" si="125"/>
        <v>14.829801324503315</v>
      </c>
      <c r="M249" s="183">
        <f t="shared" si="125"/>
        <v>75</v>
      </c>
      <c r="N249" s="183">
        <f t="shared" si="125"/>
        <v>68</v>
      </c>
      <c r="O249" s="183">
        <f t="shared" si="125"/>
        <v>0</v>
      </c>
      <c r="P249" s="183">
        <f t="shared" si="125"/>
        <v>0</v>
      </c>
      <c r="Q249" s="322">
        <f>Q240+Q244+Q245+Q246+Q247+Q243-Q241-Q242-Q248</f>
        <v>68.600000000000009</v>
      </c>
      <c r="R249" s="322"/>
      <c r="S249" s="322">
        <f>S240</f>
        <v>11.4</v>
      </c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/>
      <c r="BA249" s="182"/>
      <c r="BB249" s="182"/>
      <c r="BC249" s="182"/>
      <c r="BD249" s="182"/>
      <c r="BE249" s="182"/>
      <c r="BF249" s="182"/>
      <c r="BG249" s="182"/>
      <c r="BH249" s="182"/>
      <c r="BI249" s="182"/>
      <c r="BJ249" s="182"/>
      <c r="BK249" s="182"/>
      <c r="BL249" s="182"/>
      <c r="BM249" s="182"/>
      <c r="BN249" s="182"/>
    </row>
    <row r="250" spans="1:66" x14ac:dyDescent="0.25">
      <c r="A250" s="360"/>
      <c r="B250" s="360"/>
      <c r="C250" s="360"/>
      <c r="D250" s="368" t="s">
        <v>560</v>
      </c>
      <c r="E250" s="369">
        <f t="shared" ref="E250:N250" si="126">E249/E238</f>
        <v>0.87820264356085886</v>
      </c>
      <c r="F250" s="369">
        <f>F249/F238</f>
        <v>0.77360281569965861</v>
      </c>
      <c r="G250" s="369">
        <f t="shared" si="126"/>
        <v>1</v>
      </c>
      <c r="H250" s="369">
        <f t="shared" si="126"/>
        <v>0.6490066225165565</v>
      </c>
      <c r="I250" s="369">
        <f t="shared" si="126"/>
        <v>1</v>
      </c>
      <c r="J250" s="369">
        <f t="shared" si="126"/>
        <v>0.64900662251655639</v>
      </c>
      <c r="K250" s="369">
        <f t="shared" si="126"/>
        <v>1</v>
      </c>
      <c r="L250" s="369">
        <f t="shared" si="126"/>
        <v>0.64900662251655639</v>
      </c>
      <c r="M250" s="369">
        <f t="shared" si="126"/>
        <v>1</v>
      </c>
      <c r="N250" s="369">
        <f t="shared" si="126"/>
        <v>1</v>
      </c>
      <c r="O250" s="369">
        <f>IF(O238=0,0,O249/O238)</f>
        <v>0</v>
      </c>
      <c r="P250" s="369" t="str">
        <f>IF(P238=0,"",P249/P238)</f>
        <v/>
      </c>
      <c r="Q250" s="185"/>
      <c r="R250" s="360"/>
      <c r="S250" s="360">
        <v>0.85</v>
      </c>
      <c r="T250" s="360"/>
      <c r="U250" s="360"/>
      <c r="V250" s="360"/>
      <c r="W250" s="360"/>
      <c r="X250" s="360"/>
      <c r="Y250" s="360"/>
      <c r="Z250" s="360"/>
      <c r="AA250" s="360"/>
      <c r="AB250" s="360"/>
      <c r="AC250" s="360"/>
      <c r="AD250" s="360"/>
      <c r="AE250" s="360"/>
      <c r="AF250" s="360"/>
      <c r="AG250" s="360"/>
      <c r="AH250" s="360"/>
      <c r="AI250" s="360"/>
      <c r="AJ250" s="360"/>
      <c r="AK250" s="360"/>
      <c r="AL250" s="360"/>
      <c r="AM250" s="360"/>
      <c r="AN250" s="360"/>
      <c r="AO250" s="360"/>
      <c r="AP250" s="360"/>
      <c r="AQ250" s="360"/>
      <c r="AR250" s="360"/>
      <c r="AS250" s="360"/>
      <c r="AT250" s="360"/>
      <c r="AU250" s="360"/>
      <c r="AV250" s="360"/>
      <c r="AW250" s="360"/>
      <c r="AX250" s="360"/>
      <c r="AY250" s="360"/>
      <c r="AZ250" s="360"/>
      <c r="BA250" s="360"/>
      <c r="BB250" s="360"/>
      <c r="BC250" s="360"/>
      <c r="BD250" s="360"/>
      <c r="BE250" s="360"/>
      <c r="BF250" s="360"/>
      <c r="BG250" s="360"/>
      <c r="BH250" s="360"/>
      <c r="BI250" s="360"/>
      <c r="BJ250" s="360"/>
      <c r="BK250" s="360"/>
      <c r="BL250" s="360"/>
      <c r="BM250" s="360"/>
      <c r="BN250" s="360"/>
    </row>
    <row r="251" spans="1:66" x14ac:dyDescent="0.25">
      <c r="A251" s="370"/>
      <c r="B251" s="370"/>
      <c r="C251" s="370"/>
      <c r="D251" s="367" t="s">
        <v>561</v>
      </c>
      <c r="E251" s="183">
        <f>SUM(F251:P251)</f>
        <v>680</v>
      </c>
      <c r="F251" s="183">
        <f>F266+F271+F282</f>
        <v>196.81706705884696</v>
      </c>
      <c r="G251" s="183">
        <f t="shared" ref="G251:P251" si="127">G266+G271+G282</f>
        <v>109.01964882943143</v>
      </c>
      <c r="H251" s="183">
        <f t="shared" si="127"/>
        <v>34.01467188696671</v>
      </c>
      <c r="I251" s="183">
        <f t="shared" si="127"/>
        <v>88.928459448160538</v>
      </c>
      <c r="J251" s="183">
        <f t="shared" si="127"/>
        <v>17.223792946400419</v>
      </c>
      <c r="K251" s="183">
        <f t="shared" si="127"/>
        <v>76.864809782608674</v>
      </c>
      <c r="L251" s="183">
        <f t="shared" si="127"/>
        <v>14.131550047585261</v>
      </c>
      <c r="M251" s="183">
        <f t="shared" si="127"/>
        <v>75</v>
      </c>
      <c r="N251" s="183">
        <f t="shared" si="127"/>
        <v>68</v>
      </c>
      <c r="O251" s="183">
        <f t="shared" si="127"/>
        <v>0</v>
      </c>
      <c r="P251" s="183">
        <f t="shared" si="127"/>
        <v>0</v>
      </c>
      <c r="Q251" s="322">
        <f>H251+J251+L251+P251</f>
        <v>65.370014880952397</v>
      </c>
      <c r="R251" s="370"/>
      <c r="S251" s="370">
        <f>S249*S252</f>
        <v>10.26</v>
      </c>
      <c r="T251" s="370"/>
      <c r="U251" s="370"/>
      <c r="V251" s="370"/>
      <c r="W251" s="370"/>
      <c r="X251" s="370"/>
      <c r="Y251" s="370"/>
      <c r="Z251" s="370"/>
      <c r="AA251" s="370"/>
      <c r="AB251" s="370"/>
      <c r="AC251" s="370"/>
      <c r="AD251" s="370"/>
      <c r="AE251" s="370"/>
      <c r="AF251" s="370"/>
      <c r="AG251" s="370"/>
      <c r="AH251" s="370"/>
      <c r="AI251" s="370"/>
      <c r="AJ251" s="370"/>
      <c r="AK251" s="370"/>
      <c r="AL251" s="370"/>
      <c r="AM251" s="370"/>
      <c r="AN251" s="370"/>
      <c r="AO251" s="370"/>
      <c r="AP251" s="370"/>
      <c r="AQ251" s="370"/>
      <c r="AR251" s="370"/>
      <c r="AS251" s="370"/>
      <c r="AT251" s="370"/>
      <c r="AU251" s="370"/>
      <c r="AV251" s="370"/>
      <c r="AW251" s="370"/>
      <c r="AX251" s="370"/>
      <c r="AY251" s="370"/>
      <c r="AZ251" s="370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</row>
    <row r="252" spans="1:66" x14ac:dyDescent="0.25">
      <c r="A252" s="360"/>
      <c r="B252" s="360"/>
      <c r="C252" s="371"/>
      <c r="D252" s="372" t="s">
        <v>562</v>
      </c>
      <c r="E252" s="369">
        <f>E251/E249</f>
        <v>0.91177386667262583</v>
      </c>
      <c r="F252" s="369">
        <f>F251/F249</f>
        <v>0.86831458038177156</v>
      </c>
      <c r="G252" s="369">
        <f t="shared" ref="G252:N252" si="128">G251/G249</f>
        <v>0.89360367892976589</v>
      </c>
      <c r="H252" s="369">
        <f t="shared" si="128"/>
        <v>0.95291566881854761</v>
      </c>
      <c r="I252" s="369">
        <f t="shared" si="128"/>
        <v>0.89360367892976578</v>
      </c>
      <c r="J252" s="369">
        <f t="shared" si="128"/>
        <v>0.95291566881854783</v>
      </c>
      <c r="K252" s="369">
        <f t="shared" si="128"/>
        <v>0.89360367892976578</v>
      </c>
      <c r="L252" s="369">
        <f t="shared" si="128"/>
        <v>0.95291566881854772</v>
      </c>
      <c r="M252" s="369">
        <f t="shared" si="128"/>
        <v>1</v>
      </c>
      <c r="N252" s="369">
        <f t="shared" si="128"/>
        <v>1</v>
      </c>
      <c r="O252" s="369">
        <f>IF(O249=0,0,O251/O249)</f>
        <v>0</v>
      </c>
      <c r="P252" s="369" t="str">
        <f>IF(P249=0,"",P251/P249)</f>
        <v/>
      </c>
      <c r="Q252" s="360"/>
      <c r="R252" s="360"/>
      <c r="S252" s="360">
        <v>0.9</v>
      </c>
      <c r="T252" s="360"/>
      <c r="U252" s="360"/>
      <c r="V252" s="360"/>
      <c r="W252" s="360"/>
      <c r="X252" s="360"/>
      <c r="Y252" s="360"/>
      <c r="Z252" s="360"/>
      <c r="AA252" s="360"/>
      <c r="AB252" s="360"/>
      <c r="AC252" s="360"/>
      <c r="AD252" s="360"/>
      <c r="AE252" s="360"/>
      <c r="AF252" s="360"/>
      <c r="AG252" s="360"/>
      <c r="AH252" s="360"/>
      <c r="AI252" s="360"/>
      <c r="AJ252" s="360"/>
      <c r="AK252" s="360"/>
      <c r="AL252" s="360"/>
      <c r="AM252" s="360"/>
      <c r="AN252" s="360"/>
      <c r="AO252" s="360"/>
      <c r="AP252" s="360"/>
      <c r="AQ252" s="360"/>
      <c r="AR252" s="360"/>
      <c r="AS252" s="360"/>
      <c r="AT252" s="360"/>
      <c r="AU252" s="360"/>
      <c r="AV252" s="360"/>
      <c r="AW252" s="360"/>
      <c r="AX252" s="360"/>
      <c r="AY252" s="360"/>
      <c r="AZ252" s="360"/>
      <c r="BA252" s="360"/>
      <c r="BB252" s="360"/>
      <c r="BC252" s="360"/>
      <c r="BD252" s="360"/>
      <c r="BE252" s="360"/>
      <c r="BF252" s="360"/>
      <c r="BG252" s="360"/>
      <c r="BH252" s="360"/>
      <c r="BI252" s="360"/>
      <c r="BJ252" s="360"/>
      <c r="BK252" s="360"/>
      <c r="BL252" s="360"/>
      <c r="BM252" s="360"/>
      <c r="BN252" s="360"/>
    </row>
    <row r="253" spans="1:66" x14ac:dyDescent="0.25">
      <c r="A253" s="360"/>
      <c r="B253" s="360"/>
      <c r="C253" s="371"/>
      <c r="D253" s="368" t="s">
        <v>563</v>
      </c>
      <c r="E253" s="369">
        <f>E251/E238</f>
        <v>0.80072222004160609</v>
      </c>
      <c r="F253" s="369">
        <f>F251/F238</f>
        <v>0.67173060429640596</v>
      </c>
      <c r="G253" s="369">
        <f t="shared" ref="G253:N253" si="129">G251/G238</f>
        <v>0.89360367892976589</v>
      </c>
      <c r="H253" s="369">
        <f t="shared" si="129"/>
        <v>0.61844857976303114</v>
      </c>
      <c r="I253" s="369">
        <f t="shared" si="129"/>
        <v>0.89360367892976578</v>
      </c>
      <c r="J253" s="369">
        <f t="shared" si="129"/>
        <v>0.61844857976303114</v>
      </c>
      <c r="K253" s="369">
        <f t="shared" si="129"/>
        <v>0.89360367892976578</v>
      </c>
      <c r="L253" s="369">
        <f t="shared" si="129"/>
        <v>0.61844857976303103</v>
      </c>
      <c r="M253" s="369">
        <f t="shared" si="129"/>
        <v>1</v>
      </c>
      <c r="N253" s="369">
        <f t="shared" si="129"/>
        <v>1</v>
      </c>
      <c r="O253" s="369">
        <f>IF(O238=0,0,O251/O238)</f>
        <v>0</v>
      </c>
      <c r="P253" s="369" t="str">
        <f>IF(P238=0,"",P251/P238)</f>
        <v/>
      </c>
      <c r="Q253" s="360"/>
      <c r="R253" s="360"/>
      <c r="S253" s="360">
        <f>S250*S252</f>
        <v>0.76500000000000001</v>
      </c>
      <c r="T253" s="360"/>
      <c r="U253" s="360"/>
      <c r="V253" s="360"/>
      <c r="W253" s="360"/>
      <c r="X253" s="360"/>
      <c r="Y253" s="360"/>
      <c r="Z253" s="360"/>
      <c r="AA253" s="360"/>
      <c r="AB253" s="360"/>
      <c r="AC253" s="360"/>
      <c r="AD253" s="360"/>
      <c r="AE253" s="360"/>
      <c r="AF253" s="360"/>
      <c r="AG253" s="360"/>
      <c r="AH253" s="360"/>
      <c r="AI253" s="360"/>
      <c r="AJ253" s="360"/>
      <c r="AK253" s="360"/>
      <c r="AL253" s="360"/>
      <c r="AM253" s="360"/>
      <c r="AN253" s="360"/>
      <c r="AO253" s="360"/>
      <c r="AP253" s="360"/>
      <c r="AQ253" s="360"/>
      <c r="AR253" s="360"/>
      <c r="AS253" s="360"/>
      <c r="AT253" s="360"/>
      <c r="AU253" s="360"/>
      <c r="AV253" s="360"/>
      <c r="AW253" s="360"/>
      <c r="AX253" s="360"/>
      <c r="AY253" s="360"/>
      <c r="AZ253" s="360"/>
      <c r="BA253" s="360"/>
      <c r="BB253" s="360"/>
      <c r="BC253" s="360"/>
      <c r="BD253" s="360"/>
      <c r="BE253" s="360"/>
      <c r="BF253" s="360"/>
      <c r="BG253" s="360"/>
      <c r="BH253" s="360"/>
      <c r="BI253" s="360"/>
      <c r="BJ253" s="360"/>
      <c r="BK253" s="360"/>
      <c r="BL253" s="360"/>
      <c r="BM253" s="360"/>
      <c r="BN253" s="360"/>
    </row>
    <row r="254" spans="1:66" ht="75.75" x14ac:dyDescent="0.3">
      <c r="A254" s="373" t="s">
        <v>564</v>
      </c>
      <c r="B254" s="122" t="s">
        <v>72</v>
      </c>
      <c r="C254" s="123" t="s">
        <v>91</v>
      </c>
      <c r="D254" s="123" t="s">
        <v>565</v>
      </c>
      <c r="E254" s="123" t="s">
        <v>91</v>
      </c>
      <c r="F254" s="185"/>
      <c r="G254" s="185"/>
      <c r="H254" s="185"/>
      <c r="P254" s="185"/>
      <c r="Q254" s="185"/>
    </row>
    <row r="255" spans="1:66" x14ac:dyDescent="0.25">
      <c r="B255" s="59"/>
      <c r="C255" s="126" t="s">
        <v>92</v>
      </c>
      <c r="D255" s="126" t="s">
        <v>92</v>
      </c>
      <c r="E255" s="126" t="s">
        <v>92</v>
      </c>
      <c r="F255" s="185"/>
      <c r="G255" s="185"/>
      <c r="H255" s="185"/>
      <c r="P255" s="185"/>
      <c r="Q255" s="322"/>
    </row>
    <row r="256" spans="1:66" ht="18.75" x14ac:dyDescent="0.3">
      <c r="A256" s="294"/>
      <c r="B256" s="295" t="s">
        <v>73</v>
      </c>
      <c r="C256" s="132"/>
      <c r="D256" s="132"/>
      <c r="E256" s="132"/>
      <c r="F256" s="316"/>
      <c r="G256" s="316"/>
      <c r="H256" s="316"/>
      <c r="I256" s="316"/>
      <c r="J256" s="298"/>
      <c r="K256" s="298"/>
      <c r="L256" s="298"/>
      <c r="M256" s="298"/>
      <c r="N256" s="298"/>
      <c r="O256" s="298"/>
      <c r="P256" s="298"/>
      <c r="Q256" s="322"/>
      <c r="R256" s="298"/>
      <c r="S256" s="298"/>
      <c r="T256" s="298"/>
      <c r="U256" s="374"/>
      <c r="V256" s="223"/>
      <c r="W256" s="223"/>
      <c r="X256" s="223"/>
      <c r="Y256" s="223"/>
      <c r="Z256" s="223"/>
      <c r="AA256" s="294"/>
      <c r="AB256" s="294"/>
      <c r="AC256" s="294"/>
      <c r="AD256" s="294"/>
      <c r="AE256" s="294"/>
      <c r="AF256" s="294"/>
      <c r="AG256" s="294"/>
      <c r="AH256" s="294"/>
      <c r="AI256" s="294"/>
      <c r="AJ256" s="294"/>
      <c r="AK256" s="294"/>
      <c r="AL256" s="294"/>
      <c r="AM256" s="294"/>
      <c r="AN256" s="294"/>
      <c r="AO256" s="294"/>
      <c r="AP256" s="294"/>
      <c r="AQ256" s="294"/>
      <c r="AR256" s="294"/>
      <c r="AS256" s="294"/>
      <c r="AT256" s="294"/>
      <c r="AU256" s="294"/>
      <c r="AV256" s="294"/>
      <c r="AW256" s="294"/>
      <c r="AX256" s="294"/>
      <c r="AY256" s="294"/>
      <c r="AZ256" s="294"/>
      <c r="BA256" s="294"/>
      <c r="BB256" s="294"/>
      <c r="BC256" s="294"/>
      <c r="BD256" s="294"/>
      <c r="BE256" s="294"/>
      <c r="BF256" s="294"/>
      <c r="BG256" s="294"/>
      <c r="BH256" s="294"/>
      <c r="BI256" s="294"/>
      <c r="BJ256" s="294"/>
      <c r="BK256" s="294"/>
      <c r="BL256" s="294"/>
      <c r="BM256" s="294"/>
      <c r="BN256" s="294"/>
    </row>
    <row r="257" spans="1:66" x14ac:dyDescent="0.25">
      <c r="B257" s="128" t="s">
        <v>74</v>
      </c>
      <c r="C257" s="129">
        <f>[3]TabellenEE!I39</f>
        <v>0</v>
      </c>
      <c r="D257" s="375">
        <f>[3]TabellenEE!J39</f>
        <v>0</v>
      </c>
      <c r="E257" s="375">
        <f>SUM(F257:P257)</f>
        <v>0</v>
      </c>
      <c r="F257" s="185"/>
      <c r="G257" s="185"/>
      <c r="H257" s="185"/>
      <c r="L257" s="182"/>
      <c r="P257" s="185"/>
      <c r="Q257" s="322"/>
    </row>
    <row r="258" spans="1:66" x14ac:dyDescent="0.25">
      <c r="B258" s="128" t="s">
        <v>75</v>
      </c>
      <c r="C258" s="129">
        <f>[3]TabellenEE!I40</f>
        <v>0</v>
      </c>
      <c r="D258" s="375">
        <f>[3]TabellenEE!J40</f>
        <v>0</v>
      </c>
      <c r="E258" s="375">
        <f>SUM(F258:P258)</f>
        <v>0</v>
      </c>
      <c r="F258" s="185"/>
      <c r="G258" s="185"/>
      <c r="H258" s="185"/>
      <c r="L258" s="185"/>
      <c r="M258" s="185"/>
      <c r="P258" s="185"/>
      <c r="Q258" s="322"/>
    </row>
    <row r="259" spans="1:66" x14ac:dyDescent="0.25">
      <c r="B259" s="128" t="s">
        <v>76</v>
      </c>
      <c r="C259" s="129">
        <f>[3]TabellenEE!I41</f>
        <v>0</v>
      </c>
      <c r="D259" s="375">
        <f>[3]TabellenEE!J41</f>
        <v>0</v>
      </c>
      <c r="E259" s="375">
        <f>SUM(F259:P259)</f>
        <v>0</v>
      </c>
      <c r="F259" s="185"/>
      <c r="G259" s="185"/>
      <c r="H259" s="185"/>
      <c r="L259" s="185"/>
      <c r="M259" s="185"/>
      <c r="P259" s="185"/>
      <c r="Q259" s="322"/>
    </row>
    <row r="260" spans="1:66" x14ac:dyDescent="0.25">
      <c r="B260" s="128" t="s">
        <v>77</v>
      </c>
      <c r="C260" s="129">
        <f>[3]TabellenEE!I42</f>
        <v>66</v>
      </c>
      <c r="D260" s="375">
        <f>[3]TabellenEE!J42</f>
        <v>66</v>
      </c>
      <c r="E260" s="375">
        <f>SUM(F260:P260)</f>
        <v>66</v>
      </c>
      <c r="F260" s="316">
        <f>$D260*F225</f>
        <v>2.3591137123745822</v>
      </c>
      <c r="G260" s="316">
        <f>$D260*G225</f>
        <v>25.246655518394647</v>
      </c>
      <c r="H260" s="185"/>
      <c r="I260" s="316">
        <f>$D260*I225</f>
        <v>20.593959030100336</v>
      </c>
      <c r="K260" s="316">
        <f>$D260*K225</f>
        <v>17.80027173913043</v>
      </c>
      <c r="L260" s="185"/>
      <c r="M260" s="185"/>
      <c r="N260" s="92"/>
      <c r="O260" s="316">
        <f>$D260*O225</f>
        <v>0</v>
      </c>
      <c r="P260" s="185"/>
      <c r="Q260" s="322"/>
    </row>
    <row r="261" spans="1:66" x14ac:dyDescent="0.25">
      <c r="B261" s="128" t="s">
        <v>78</v>
      </c>
      <c r="C261" s="129">
        <f>[3]TabellenEE!I43</f>
        <v>23</v>
      </c>
      <c r="D261" s="375">
        <f>[3]TabellenEE!J43</f>
        <v>23</v>
      </c>
      <c r="E261" s="375">
        <f>SUM(F261:P261)</f>
        <v>23</v>
      </c>
      <c r="F261" s="316">
        <f>$D261*F225</f>
        <v>0.82211538461538469</v>
      </c>
      <c r="G261" s="316">
        <f>$D261*G225</f>
        <v>8.7980769230769234</v>
      </c>
      <c r="H261" s="185"/>
      <c r="I261" s="316">
        <f>$D261*I225</f>
        <v>7.1766826923076934</v>
      </c>
      <c r="K261" s="316">
        <f>$D261*K225</f>
        <v>6.2031249999999982</v>
      </c>
      <c r="L261" s="185"/>
      <c r="M261" s="185"/>
      <c r="O261" s="316">
        <f>$D261*O225</f>
        <v>0</v>
      </c>
      <c r="P261" s="185"/>
      <c r="Q261" s="322"/>
    </row>
    <row r="262" spans="1:66" x14ac:dyDescent="0.25">
      <c r="B262" s="60" t="s">
        <v>79</v>
      </c>
      <c r="C262" s="129">
        <f>[3]TabellenEE!I44</f>
        <v>89</v>
      </c>
      <c r="D262" s="375">
        <f>[3]TabellenEE!J44</f>
        <v>89</v>
      </c>
      <c r="E262" s="375">
        <f>SUM(E259:E261)</f>
        <v>89</v>
      </c>
      <c r="F262" s="316"/>
      <c r="G262" s="185"/>
      <c r="H262" s="185"/>
      <c r="L262" s="185"/>
      <c r="M262" s="185"/>
      <c r="Q262" s="322"/>
    </row>
    <row r="263" spans="1:66" x14ac:dyDescent="0.25">
      <c r="B263" s="128" t="s">
        <v>80</v>
      </c>
      <c r="C263" s="129">
        <f>[3]TabellenEE!I45</f>
        <v>68</v>
      </c>
      <c r="D263" s="375">
        <f>[3]TabellenEE!J45</f>
        <v>68</v>
      </c>
      <c r="E263" s="375">
        <f>SUM(F263:P263)</f>
        <v>68</v>
      </c>
      <c r="F263" s="316"/>
      <c r="J263" s="92"/>
      <c r="K263" s="92"/>
      <c r="N263">
        <f>D263</f>
        <v>68</v>
      </c>
      <c r="Q263" s="322"/>
    </row>
    <row r="264" spans="1:66" x14ac:dyDescent="0.25">
      <c r="B264" s="128" t="s">
        <v>3</v>
      </c>
      <c r="C264" s="129">
        <f>[3]TabellenEE!I46</f>
        <v>69</v>
      </c>
      <c r="D264" s="375">
        <f>[3]TabellenEE!J46</f>
        <v>69</v>
      </c>
      <c r="E264" s="375">
        <f>SUM(F264:P264)</f>
        <v>69</v>
      </c>
      <c r="F264" s="316"/>
      <c r="G264" s="376"/>
      <c r="H264" s="376"/>
      <c r="I264" s="377"/>
      <c r="J264" s="378"/>
      <c r="K264" s="379"/>
      <c r="L264" s="378"/>
      <c r="M264" s="378">
        <f>D264</f>
        <v>69</v>
      </c>
      <c r="N264" s="378"/>
      <c r="O264" s="378"/>
      <c r="P264" s="378"/>
      <c r="Q264" s="322"/>
      <c r="R264" s="378"/>
      <c r="S264" s="378"/>
      <c r="T264" s="378"/>
      <c r="U264" s="380"/>
      <c r="V264" s="191"/>
      <c r="W264" s="381"/>
      <c r="X264" s="382"/>
      <c r="Y264" s="381"/>
      <c r="Z264" s="381"/>
    </row>
    <row r="265" spans="1:66" x14ac:dyDescent="0.25">
      <c r="B265" s="128" t="s">
        <v>81</v>
      </c>
      <c r="C265" s="129">
        <f>[3]TabellenEE!I47</f>
        <v>13</v>
      </c>
      <c r="D265" s="375">
        <f>[3]TabellenEE!J47</f>
        <v>13</v>
      </c>
      <c r="E265" s="375">
        <f>SUM(F265:P265)</f>
        <v>13</v>
      </c>
      <c r="F265" s="316">
        <f>D265</f>
        <v>13</v>
      </c>
      <c r="G265" s="316"/>
      <c r="H265" s="316"/>
      <c r="I265" s="316"/>
      <c r="J265" s="185"/>
      <c r="K265" s="185"/>
      <c r="L265" s="185"/>
      <c r="M265" s="185"/>
      <c r="N265" s="185"/>
      <c r="O265" s="185"/>
      <c r="P265" s="185"/>
      <c r="Q265" s="322"/>
      <c r="R265" s="185"/>
      <c r="S265" s="185"/>
      <c r="T265" s="326"/>
      <c r="U265" s="137"/>
      <c r="V265" s="223"/>
      <c r="W265" s="223"/>
      <c r="X265" s="223"/>
      <c r="Y265" s="223"/>
      <c r="Z265" s="223"/>
    </row>
    <row r="266" spans="1:66" x14ac:dyDescent="0.25">
      <c r="B266" s="61" t="s">
        <v>13</v>
      </c>
      <c r="C266" s="131">
        <f>SUM(C262:C265)</f>
        <v>239</v>
      </c>
      <c r="D266" s="136">
        <f>SUM(D262:D265)</f>
        <v>239</v>
      </c>
      <c r="E266" s="136">
        <f>SUM(E262:E265)</f>
        <v>239</v>
      </c>
      <c r="F266" s="316">
        <f>SUM(F257:F265)</f>
        <v>16.181229096989966</v>
      </c>
      <c r="G266" s="316">
        <f t="shared" ref="G266:P266" si="130">SUM(G257:G265)</f>
        <v>34.044732441471567</v>
      </c>
      <c r="H266" s="316">
        <f t="shared" si="130"/>
        <v>0</v>
      </c>
      <c r="I266" s="316">
        <f t="shared" si="130"/>
        <v>27.77064172240803</v>
      </c>
      <c r="J266" s="316">
        <f t="shared" si="130"/>
        <v>0</v>
      </c>
      <c r="K266" s="316">
        <f t="shared" si="130"/>
        <v>24.00339673913043</v>
      </c>
      <c r="L266" s="316">
        <f t="shared" si="130"/>
        <v>0</v>
      </c>
      <c r="M266" s="316">
        <f t="shared" si="130"/>
        <v>69</v>
      </c>
      <c r="N266" s="316">
        <f t="shared" si="130"/>
        <v>68</v>
      </c>
      <c r="O266" s="316">
        <f t="shared" si="130"/>
        <v>0</v>
      </c>
      <c r="P266" s="316">
        <f t="shared" si="130"/>
        <v>0</v>
      </c>
      <c r="Q266" s="322">
        <f>SUM(F266:P266)</f>
        <v>239</v>
      </c>
      <c r="R266" s="185"/>
      <c r="S266" s="185"/>
      <c r="T266" s="185"/>
      <c r="U266" s="137"/>
      <c r="V266" s="223"/>
      <c r="W266" s="223"/>
      <c r="X266" s="223"/>
      <c r="Y266" s="223"/>
      <c r="Z266" s="223"/>
    </row>
    <row r="267" spans="1:66" ht="18.75" x14ac:dyDescent="0.3">
      <c r="A267" s="294"/>
      <c r="B267" s="295" t="s">
        <v>82</v>
      </c>
      <c r="C267" s="132"/>
      <c r="D267" s="111"/>
      <c r="E267" s="111"/>
      <c r="F267" s="316"/>
      <c r="G267" s="316"/>
      <c r="H267" s="316"/>
      <c r="I267" s="316"/>
      <c r="J267" s="298"/>
      <c r="K267" s="298"/>
      <c r="L267" s="298"/>
      <c r="M267" s="298"/>
      <c r="N267" s="298"/>
      <c r="O267" s="298"/>
      <c r="P267" s="298"/>
      <c r="Q267" s="322"/>
      <c r="R267" s="298"/>
      <c r="S267" s="298"/>
      <c r="T267" s="298"/>
      <c r="U267" s="374"/>
      <c r="V267" s="223"/>
      <c r="W267" s="223"/>
      <c r="X267" s="223"/>
      <c r="Y267" s="223"/>
      <c r="Z267" s="223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  <c r="AS267" s="294"/>
      <c r="AT267" s="294"/>
      <c r="AU267" s="294"/>
      <c r="AV267" s="294"/>
      <c r="AW267" s="294"/>
      <c r="AX267" s="294"/>
      <c r="AY267" s="294"/>
      <c r="AZ267" s="294"/>
      <c r="BA267" s="294"/>
      <c r="BB267" s="294"/>
      <c r="BC267" s="294"/>
      <c r="BD267" s="294"/>
      <c r="BE267" s="294"/>
      <c r="BF267" s="294"/>
      <c r="BG267" s="294"/>
      <c r="BH267" s="294"/>
      <c r="BI267" s="294"/>
      <c r="BJ267" s="294"/>
      <c r="BK267" s="294"/>
      <c r="BL267" s="294"/>
      <c r="BM267" s="294"/>
      <c r="BN267" s="294"/>
    </row>
    <row r="268" spans="1:66" x14ac:dyDescent="0.25">
      <c r="B268" s="128" t="s">
        <v>14</v>
      </c>
      <c r="C268" s="129">
        <f>[3]TabellenEE!I50</f>
        <v>15</v>
      </c>
      <c r="D268" s="375">
        <f>[3]TabellenEE!J50</f>
        <v>15</v>
      </c>
      <c r="E268" s="375">
        <f>SUM(F268:P268)</f>
        <v>15.000000000000004</v>
      </c>
      <c r="F268" s="316">
        <f t="shared" ref="F268:P268" si="131">$D268*F232</f>
        <v>3.4453125</v>
      </c>
      <c r="G268" s="316">
        <f t="shared" si="131"/>
        <v>0</v>
      </c>
      <c r="H268" s="316">
        <f t="shared" si="131"/>
        <v>6.012372871333965</v>
      </c>
      <c r="I268" s="316">
        <f t="shared" si="131"/>
        <v>0</v>
      </c>
      <c r="J268" s="316">
        <f t="shared" si="131"/>
        <v>3.0444469903027445</v>
      </c>
      <c r="K268" s="316">
        <f t="shared" si="131"/>
        <v>0</v>
      </c>
      <c r="L268" s="316">
        <f t="shared" si="131"/>
        <v>2.4978676383632927</v>
      </c>
      <c r="M268" s="316">
        <f t="shared" si="131"/>
        <v>0</v>
      </c>
      <c r="N268" s="316">
        <f t="shared" si="131"/>
        <v>0</v>
      </c>
      <c r="O268" s="316">
        <f t="shared" si="131"/>
        <v>0</v>
      </c>
      <c r="P268" s="316">
        <f t="shared" si="131"/>
        <v>0</v>
      </c>
      <c r="Q268" s="322">
        <f>H268+J268+L268+P268</f>
        <v>11.554687500000002</v>
      </c>
      <c r="R268" s="185"/>
      <c r="S268" s="185"/>
      <c r="T268" s="185"/>
      <c r="U268" s="137"/>
      <c r="V268" s="223"/>
      <c r="W268" s="223"/>
      <c r="X268" s="223"/>
      <c r="Y268" s="223"/>
      <c r="Z268" s="223"/>
    </row>
    <row r="269" spans="1:66" x14ac:dyDescent="0.25">
      <c r="B269" s="128" t="s">
        <v>30</v>
      </c>
      <c r="C269" s="129">
        <f>[3]TabellenEE!I51</f>
        <v>40</v>
      </c>
      <c r="D269" s="375">
        <f>[3]TabellenEE!J51</f>
        <v>40</v>
      </c>
      <c r="E269" s="375">
        <f>SUM(F269:P269)</f>
        <v>40</v>
      </c>
      <c r="F269" s="316">
        <f>$D269*F231</f>
        <v>21.619047619047617</v>
      </c>
      <c r="G269" s="316">
        <f t="shared" ref="G269:P269" si="132">$D269*G231</f>
        <v>0</v>
      </c>
      <c r="H269" s="316">
        <f t="shared" si="132"/>
        <v>9.5643555435419216</v>
      </c>
      <c r="I269" s="316">
        <f t="shared" si="132"/>
        <v>0</v>
      </c>
      <c r="J269" s="316">
        <f t="shared" si="132"/>
        <v>4.8430418525025916</v>
      </c>
      <c r="K269" s="316">
        <f t="shared" si="132"/>
        <v>0</v>
      </c>
      <c r="L269" s="316">
        <f t="shared" si="132"/>
        <v>3.9735549849078708</v>
      </c>
      <c r="M269" s="316">
        <f t="shared" si="132"/>
        <v>0</v>
      </c>
      <c r="N269" s="316">
        <f t="shared" si="132"/>
        <v>0</v>
      </c>
      <c r="O269" s="316">
        <f t="shared" si="132"/>
        <v>0</v>
      </c>
      <c r="P269" s="316">
        <f t="shared" si="132"/>
        <v>0</v>
      </c>
      <c r="Q269" s="322">
        <f>H269+J269+L269+P269</f>
        <v>18.380952380952383</v>
      </c>
      <c r="R269" s="185"/>
      <c r="S269" s="185"/>
      <c r="T269" s="185"/>
      <c r="U269" s="137"/>
      <c r="V269" s="223"/>
      <c r="W269" s="223"/>
      <c r="X269" s="223"/>
      <c r="Y269" s="223"/>
      <c r="Z269" s="223"/>
    </row>
    <row r="270" spans="1:66" x14ac:dyDescent="0.25">
      <c r="A270" s="383">
        <f>C291</f>
        <v>0.75137661982242443</v>
      </c>
      <c r="B270" s="60" t="s">
        <v>83</v>
      </c>
      <c r="C270" s="375">
        <f>[3]TabellenEE!I52</f>
        <v>43</v>
      </c>
      <c r="D270" s="375">
        <f>[3]TabellenEE!J52</f>
        <v>82</v>
      </c>
      <c r="E270" s="375">
        <f>SUM(F270:P270)</f>
        <v>82</v>
      </c>
      <c r="F270" s="316">
        <f t="shared" ref="F270:P270" si="133">$D270*F225</f>
        <v>2.9310200668896322</v>
      </c>
      <c r="G270" s="316">
        <f t="shared" si="133"/>
        <v>31.36705685618729</v>
      </c>
      <c r="H270" s="316">
        <f t="shared" si="133"/>
        <v>0</v>
      </c>
      <c r="I270" s="316">
        <f t="shared" si="133"/>
        <v>25.586433946488299</v>
      </c>
      <c r="J270" s="316">
        <f t="shared" si="133"/>
        <v>0</v>
      </c>
      <c r="K270" s="316">
        <f t="shared" si="133"/>
        <v>22.115489130434778</v>
      </c>
      <c r="L270" s="316">
        <f t="shared" si="133"/>
        <v>0</v>
      </c>
      <c r="M270" s="316">
        <f t="shared" si="133"/>
        <v>0</v>
      </c>
      <c r="N270" s="316">
        <f t="shared" si="133"/>
        <v>0</v>
      </c>
      <c r="O270" s="316">
        <f t="shared" si="133"/>
        <v>0</v>
      </c>
      <c r="P270" s="316">
        <f t="shared" si="133"/>
        <v>0</v>
      </c>
      <c r="Q270" s="322"/>
      <c r="R270" s="185">
        <f>E270*A270</f>
        <v>61.612882825438803</v>
      </c>
      <c r="S270" s="185"/>
      <c r="T270" s="185"/>
      <c r="U270" s="137"/>
      <c r="V270" s="223"/>
      <c r="W270" s="223"/>
      <c r="X270" s="223"/>
      <c r="Y270" s="223"/>
      <c r="Z270" s="223"/>
    </row>
    <row r="271" spans="1:66" x14ac:dyDescent="0.25">
      <c r="B271" s="61" t="s">
        <v>13</v>
      </c>
      <c r="C271" s="131">
        <f>SUM(C268:C270)</f>
        <v>98</v>
      </c>
      <c r="D271" s="136">
        <f>SUM(D268:D270)</f>
        <v>137</v>
      </c>
      <c r="E271" s="136">
        <f>SUM(E268:E270)</f>
        <v>137</v>
      </c>
      <c r="F271" s="316">
        <f>SUM(F268:F270)</f>
        <v>27.99538018593725</v>
      </c>
      <c r="G271" s="316">
        <f t="shared" ref="G271:P271" si="134">SUM(G268:G270)</f>
        <v>31.36705685618729</v>
      </c>
      <c r="H271" s="316">
        <f t="shared" si="134"/>
        <v>15.576728414875888</v>
      </c>
      <c r="I271" s="316">
        <f t="shared" si="134"/>
        <v>25.586433946488299</v>
      </c>
      <c r="J271" s="316">
        <f t="shared" si="134"/>
        <v>7.887488842805336</v>
      </c>
      <c r="K271" s="316">
        <f t="shared" si="134"/>
        <v>22.115489130434778</v>
      </c>
      <c r="L271" s="316">
        <f t="shared" si="134"/>
        <v>6.4714226232711631</v>
      </c>
      <c r="M271" s="316">
        <f t="shared" si="134"/>
        <v>0</v>
      </c>
      <c r="N271" s="316">
        <f t="shared" si="134"/>
        <v>0</v>
      </c>
      <c r="O271" s="316">
        <f t="shared" si="134"/>
        <v>0</v>
      </c>
      <c r="P271" s="316">
        <f t="shared" si="134"/>
        <v>0</v>
      </c>
      <c r="Q271" s="322">
        <f>SUM(F271:P271)</f>
        <v>137</v>
      </c>
      <c r="R271" s="185"/>
      <c r="S271" s="185"/>
      <c r="T271" s="185"/>
      <c r="U271" s="137"/>
      <c r="V271" s="223"/>
      <c r="W271" s="223"/>
      <c r="X271" s="223"/>
      <c r="Y271" s="223"/>
      <c r="Z271" s="223"/>
    </row>
    <row r="272" spans="1:66" ht="18.75" x14ac:dyDescent="0.3">
      <c r="A272" s="294"/>
      <c r="B272" s="295" t="s">
        <v>84</v>
      </c>
      <c r="C272" s="132"/>
      <c r="D272" s="111"/>
      <c r="E272" s="111"/>
      <c r="F272" s="316"/>
      <c r="G272" s="316"/>
      <c r="H272" s="316"/>
      <c r="I272" s="316"/>
      <c r="J272" s="298"/>
      <c r="K272" s="298"/>
      <c r="L272" s="298"/>
      <c r="M272" s="298"/>
      <c r="N272" s="298"/>
      <c r="O272" s="298"/>
      <c r="P272" s="298"/>
      <c r="Q272" s="322"/>
      <c r="R272" s="298"/>
      <c r="S272" s="298"/>
      <c r="T272" s="298"/>
      <c r="U272" s="374"/>
      <c r="V272" s="223"/>
      <c r="W272" s="223"/>
      <c r="X272" s="223"/>
      <c r="Y272" s="223"/>
      <c r="Z272" s="223"/>
      <c r="AA272" s="294"/>
      <c r="AB272" s="294"/>
      <c r="AC272" s="294"/>
      <c r="AD272" s="294"/>
      <c r="AE272" s="294"/>
      <c r="AF272" s="294"/>
      <c r="AG272" s="294"/>
      <c r="AH272" s="294"/>
      <c r="AI272" s="294"/>
      <c r="AJ272" s="294"/>
      <c r="AK272" s="294"/>
      <c r="AL272" s="294"/>
      <c r="AM272" s="294"/>
      <c r="AN272" s="294"/>
      <c r="AO272" s="294"/>
      <c r="AP272" s="294"/>
      <c r="AQ272" s="294"/>
      <c r="AR272" s="294"/>
      <c r="AS272" s="294"/>
      <c r="AT272" s="294"/>
      <c r="AU272" s="294"/>
      <c r="AV272" s="294"/>
      <c r="AW272" s="294"/>
      <c r="AX272" s="294"/>
      <c r="AY272" s="294"/>
      <c r="AZ272" s="294"/>
      <c r="BA272" s="294"/>
      <c r="BB272" s="294"/>
      <c r="BC272" s="294"/>
      <c r="BD272" s="294"/>
      <c r="BE272" s="294"/>
      <c r="BF272" s="294"/>
      <c r="BG272" s="294"/>
      <c r="BH272" s="294"/>
      <c r="BI272" s="294"/>
      <c r="BJ272" s="294"/>
      <c r="BK272" s="294"/>
      <c r="BL272" s="294"/>
      <c r="BM272" s="294"/>
      <c r="BN272" s="294"/>
    </row>
    <row r="273" spans="1:66" x14ac:dyDescent="0.25">
      <c r="B273" s="128" t="s">
        <v>30</v>
      </c>
      <c r="C273" s="129">
        <f>[3]TabellenEE!I55</f>
        <v>0</v>
      </c>
      <c r="D273" s="375">
        <f>[3]TabellenEE!J55</f>
        <v>0</v>
      </c>
      <c r="E273" s="375">
        <f t="shared" ref="E273:E281" si="135">SUM(F273:P273)</f>
        <v>0</v>
      </c>
      <c r="F273" s="316"/>
      <c r="G273" s="316"/>
      <c r="H273" s="316"/>
      <c r="I273" s="316"/>
      <c r="J273" s="185"/>
      <c r="K273" s="185"/>
      <c r="L273" s="185"/>
      <c r="M273" s="185"/>
      <c r="N273" s="185"/>
      <c r="O273" s="185"/>
      <c r="P273" s="185"/>
      <c r="Q273" s="322"/>
      <c r="R273" s="185"/>
      <c r="S273" s="185"/>
      <c r="T273" s="185"/>
      <c r="U273" s="137"/>
      <c r="V273" s="223"/>
      <c r="W273" s="223"/>
      <c r="X273" s="223"/>
      <c r="Y273" s="223"/>
      <c r="Z273" s="223"/>
    </row>
    <row r="274" spans="1:66" x14ac:dyDescent="0.25">
      <c r="B274" s="128" t="s">
        <v>32</v>
      </c>
      <c r="C274" s="129">
        <f>[3]TabellenEE!I56</f>
        <v>86</v>
      </c>
      <c r="D274" s="375">
        <f>[3]TabellenEE!J56</f>
        <v>86</v>
      </c>
      <c r="E274" s="375">
        <f t="shared" si="135"/>
        <v>86</v>
      </c>
      <c r="F274" s="185">
        <f>D274-M274-N274-O274</f>
        <v>80</v>
      </c>
      <c r="G274" s="185">
        <f t="shared" ref="G274:L274" si="136">G$230*$D274</f>
        <v>0</v>
      </c>
      <c r="H274" s="185">
        <f t="shared" si="136"/>
        <v>0</v>
      </c>
      <c r="I274" s="185">
        <f t="shared" si="136"/>
        <v>0</v>
      </c>
      <c r="J274" s="185">
        <f t="shared" si="136"/>
        <v>0</v>
      </c>
      <c r="K274" s="185">
        <f t="shared" si="136"/>
        <v>0</v>
      </c>
      <c r="L274" s="185">
        <f t="shared" si="136"/>
        <v>0</v>
      </c>
      <c r="M274" s="185">
        <f>M238-M264</f>
        <v>6</v>
      </c>
      <c r="N274" s="185">
        <f>N$230*$D274</f>
        <v>0</v>
      </c>
      <c r="O274" s="185">
        <f>O245*0.8</f>
        <v>0</v>
      </c>
      <c r="P274" s="185">
        <f>P$230*$D274</f>
        <v>0</v>
      </c>
      <c r="Q274" s="322"/>
      <c r="R274" s="185"/>
      <c r="S274" s="185"/>
      <c r="T274" s="185"/>
      <c r="U274" s="137"/>
      <c r="V274" s="223"/>
      <c r="W274" s="223"/>
      <c r="X274" s="223"/>
      <c r="Y274" s="223"/>
      <c r="Z274" s="223"/>
    </row>
    <row r="275" spans="1:66" x14ac:dyDescent="0.25">
      <c r="A275" s="383">
        <f>C292</f>
        <v>1</v>
      </c>
      <c r="B275" s="128" t="s">
        <v>85</v>
      </c>
      <c r="C275" s="129">
        <f>[3]TabellenEE!I57</f>
        <v>25</v>
      </c>
      <c r="D275" s="375">
        <f>[3]TabellenEE!J57</f>
        <v>25</v>
      </c>
      <c r="E275" s="375">
        <f t="shared" si="135"/>
        <v>25.000000000000004</v>
      </c>
      <c r="F275" s="185">
        <f>F$225*$D275</f>
        <v>0.893603678929766</v>
      </c>
      <c r="G275" s="185">
        <f>G$225*$D275</f>
        <v>9.5631270903010037</v>
      </c>
      <c r="H275" s="316"/>
      <c r="I275" s="185">
        <f>I$225*$D275</f>
        <v>7.8007420568561887</v>
      </c>
      <c r="J275" s="185"/>
      <c r="K275" s="185">
        <f>K$225*$D275</f>
        <v>6.7425271739130421</v>
      </c>
      <c r="L275" s="185"/>
      <c r="M275" s="185"/>
      <c r="N275" s="185"/>
      <c r="O275" s="185">
        <f>O$225*$D275</f>
        <v>0</v>
      </c>
      <c r="P275" s="185"/>
      <c r="Q275" s="322"/>
      <c r="R275" s="185">
        <f>E275*A275</f>
        <v>25.000000000000004</v>
      </c>
      <c r="S275" s="185"/>
      <c r="T275" s="185"/>
      <c r="U275" s="137"/>
      <c r="V275" s="223"/>
      <c r="W275" s="223"/>
      <c r="X275" s="223"/>
      <c r="Y275" s="223"/>
      <c r="Z275" s="223"/>
    </row>
    <row r="276" spans="1:66" x14ac:dyDescent="0.25">
      <c r="B276" s="128" t="s">
        <v>86</v>
      </c>
      <c r="C276" s="129">
        <f>[3]TabellenEE!I58</f>
        <v>46</v>
      </c>
      <c r="D276" s="375">
        <f>[3]TabellenEE!J58</f>
        <v>46</v>
      </c>
      <c r="E276" s="375">
        <f t="shared" si="135"/>
        <v>46.000000000000007</v>
      </c>
      <c r="F276" s="316">
        <f>$D276*F232</f>
        <v>10.565624999999999</v>
      </c>
      <c r="G276" s="316"/>
      <c r="H276" s="316">
        <f>$D276*H232</f>
        <v>18.437943472090826</v>
      </c>
      <c r="I276" s="316"/>
      <c r="J276" s="316">
        <f>$D276*J232</f>
        <v>9.3363041035950829</v>
      </c>
      <c r="K276" s="185"/>
      <c r="L276" s="316">
        <f>$D276*L232</f>
        <v>7.6601274243140978</v>
      </c>
      <c r="M276" s="185"/>
      <c r="N276" s="185"/>
      <c r="O276" s="185"/>
      <c r="P276" s="316">
        <f>$D276*P232</f>
        <v>0</v>
      </c>
      <c r="Q276" s="322">
        <f>H276+J276+L276+P276</f>
        <v>35.434375000000003</v>
      </c>
      <c r="R276" s="185"/>
      <c r="S276" s="185"/>
      <c r="T276" s="185"/>
      <c r="U276" s="137"/>
      <c r="V276" s="223"/>
      <c r="W276" s="223"/>
      <c r="X276" s="223"/>
      <c r="Y276" s="223"/>
      <c r="Z276" s="223"/>
    </row>
    <row r="277" spans="1:66" x14ac:dyDescent="0.25">
      <c r="B277" s="128" t="s">
        <v>87</v>
      </c>
      <c r="C277" s="129">
        <f>[3]TabellenEE!I59</f>
        <v>58</v>
      </c>
      <c r="D277" s="375">
        <f>[3]TabellenEE!J59</f>
        <v>58</v>
      </c>
      <c r="E277" s="375">
        <f t="shared" si="135"/>
        <v>58</v>
      </c>
      <c r="F277" s="384">
        <f>D277</f>
        <v>58</v>
      </c>
      <c r="G277" s="384"/>
      <c r="H277" s="384"/>
      <c r="I277" s="384"/>
      <c r="J277" s="385"/>
      <c r="K277" s="385"/>
      <c r="L277" s="385"/>
      <c r="M277" s="385"/>
      <c r="N277" s="385"/>
      <c r="O277" s="326"/>
      <c r="P277" s="326"/>
      <c r="Q277" s="326"/>
      <c r="R277" s="326"/>
      <c r="S277" s="326"/>
      <c r="T277" s="326"/>
      <c r="U277" s="386"/>
      <c r="V277" s="387"/>
      <c r="W277" s="387"/>
      <c r="X277" s="387"/>
      <c r="Y277" s="387"/>
      <c r="Z277" s="387"/>
      <c r="AA277" s="388"/>
      <c r="AB277" s="388"/>
      <c r="AC277" s="388"/>
      <c r="AD277" s="388"/>
      <c r="AE277" s="388"/>
      <c r="AF277" s="388"/>
      <c r="AG277" s="388"/>
      <c r="AH277" s="388"/>
      <c r="AI277" s="388"/>
      <c r="AJ277" s="388"/>
      <c r="AK277" s="388"/>
      <c r="AL277" s="388"/>
      <c r="AM277" s="388"/>
      <c r="AN277" s="388"/>
      <c r="AO277" s="388"/>
      <c r="AP277" s="388"/>
      <c r="AQ277" s="388"/>
      <c r="AR277" s="388"/>
      <c r="AS277" s="388"/>
      <c r="AT277" s="388"/>
      <c r="AU277" s="388"/>
      <c r="AV277" s="388"/>
      <c r="AW277" s="388"/>
      <c r="AX277" s="388"/>
      <c r="AY277" s="388"/>
      <c r="AZ277" s="388"/>
      <c r="BA277" s="388"/>
      <c r="BB277" s="388"/>
      <c r="BC277" s="388"/>
      <c r="BD277" s="388"/>
      <c r="BE277" s="388"/>
      <c r="BF277" s="388"/>
      <c r="BG277" s="388"/>
      <c r="BH277" s="388"/>
      <c r="BI277" s="388"/>
      <c r="BJ277" s="388"/>
      <c r="BK277" s="388"/>
      <c r="BL277" s="388"/>
      <c r="BM277" s="388"/>
      <c r="BN277" s="388"/>
    </row>
    <row r="278" spans="1:66" x14ac:dyDescent="0.25">
      <c r="B278" s="128" t="s">
        <v>88</v>
      </c>
      <c r="C278" s="129">
        <f>[3]TabellenEE!I60</f>
        <v>0</v>
      </c>
      <c r="D278" s="375">
        <f>[3]TabellenEE!J60</f>
        <v>0</v>
      </c>
      <c r="E278" s="375">
        <f t="shared" si="135"/>
        <v>0</v>
      </c>
      <c r="F278" s="316"/>
      <c r="G278" s="316"/>
      <c r="H278" s="316"/>
      <c r="I278" s="316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37"/>
      <c r="V278" s="223"/>
      <c r="W278" s="223"/>
      <c r="X278" s="223"/>
      <c r="Y278" s="223"/>
      <c r="Z278" s="223"/>
    </row>
    <row r="279" spans="1:66" x14ac:dyDescent="0.25">
      <c r="A279" s="383">
        <f>C293</f>
        <v>0.8</v>
      </c>
      <c r="B279" s="60" t="s">
        <v>51</v>
      </c>
      <c r="C279" s="129">
        <f>[3]TabellenEE!I61</f>
        <v>89</v>
      </c>
      <c r="D279" s="375">
        <f>[3]TabellenEE!J61</f>
        <v>89</v>
      </c>
      <c r="E279" s="375">
        <f t="shared" si="135"/>
        <v>89</v>
      </c>
      <c r="F279" s="185">
        <f>F$225*$D279</f>
        <v>3.1812290969899668</v>
      </c>
      <c r="G279" s="185">
        <f>G$225*$D279</f>
        <v>34.044732441471574</v>
      </c>
      <c r="H279" s="316"/>
      <c r="I279" s="185">
        <f>I$225*$D279</f>
        <v>27.77064172240803</v>
      </c>
      <c r="J279" s="185"/>
      <c r="K279" s="185">
        <f>K$225*$D279</f>
        <v>24.00339673913043</v>
      </c>
      <c r="L279" s="185"/>
      <c r="M279" s="185"/>
      <c r="N279" s="185"/>
      <c r="O279" s="185">
        <f>O$225*$D279</f>
        <v>0</v>
      </c>
      <c r="P279" s="185"/>
      <c r="Q279" s="185"/>
      <c r="R279" s="185">
        <f>E279*A279</f>
        <v>71.2</v>
      </c>
      <c r="S279" s="185"/>
      <c r="T279" s="185"/>
      <c r="U279" s="137"/>
      <c r="V279" s="223"/>
      <c r="W279" s="223"/>
      <c r="X279" s="223"/>
      <c r="Y279" s="223"/>
      <c r="Z279" s="223"/>
    </row>
    <row r="280" spans="1:66" x14ac:dyDescent="0.25">
      <c r="B280" s="60" t="s">
        <v>89</v>
      </c>
      <c r="C280" s="129">
        <f>SUM(C274:C278)</f>
        <v>215</v>
      </c>
      <c r="D280" s="375">
        <f>SUM(D274:D278)</f>
        <v>215</v>
      </c>
      <c r="E280" s="375">
        <f t="shared" si="135"/>
        <v>190.00000000000006</v>
      </c>
      <c r="F280" s="316">
        <f>F282-F281</f>
        <v>148.56562500000001</v>
      </c>
      <c r="G280" s="316">
        <f t="shared" ref="G280:P280" si="137">G282-G281</f>
        <v>0</v>
      </c>
      <c r="H280" s="316">
        <f t="shared" si="137"/>
        <v>18.437943472090826</v>
      </c>
      <c r="I280" s="316">
        <f t="shared" si="137"/>
        <v>0</v>
      </c>
      <c r="J280" s="316">
        <f t="shared" si="137"/>
        <v>9.3363041035950829</v>
      </c>
      <c r="K280" s="316">
        <f t="shared" si="137"/>
        <v>0</v>
      </c>
      <c r="L280" s="316">
        <f t="shared" si="137"/>
        <v>7.6601274243140978</v>
      </c>
      <c r="M280" s="316">
        <f t="shared" si="137"/>
        <v>6</v>
      </c>
      <c r="N280" s="316">
        <f t="shared" si="137"/>
        <v>0</v>
      </c>
      <c r="O280" s="316">
        <f t="shared" si="137"/>
        <v>0</v>
      </c>
      <c r="P280" s="316">
        <f t="shared" si="137"/>
        <v>0</v>
      </c>
      <c r="Q280" s="185"/>
      <c r="R280" s="185"/>
      <c r="S280" s="185"/>
      <c r="T280" s="185"/>
      <c r="U280" s="137"/>
      <c r="V280" s="223"/>
      <c r="W280" s="223"/>
      <c r="X280" s="223"/>
      <c r="Y280" s="223"/>
      <c r="Z280" s="223"/>
    </row>
    <row r="281" spans="1:66" x14ac:dyDescent="0.25">
      <c r="B281" s="60" t="s">
        <v>90</v>
      </c>
      <c r="C281" s="129">
        <f>C279</f>
        <v>89</v>
      </c>
      <c r="D281" s="375">
        <f>D279</f>
        <v>89</v>
      </c>
      <c r="E281" s="375">
        <f t="shared" si="135"/>
        <v>114</v>
      </c>
      <c r="F281" s="316">
        <f>F279+F275</f>
        <v>4.0748327759197327</v>
      </c>
      <c r="G281" s="316">
        <f t="shared" ref="G281:P281" si="138">G279+G275</f>
        <v>43.607859531772576</v>
      </c>
      <c r="H281" s="316">
        <f t="shared" si="138"/>
        <v>0</v>
      </c>
      <c r="I281" s="316">
        <f t="shared" si="138"/>
        <v>35.571383779264217</v>
      </c>
      <c r="J281" s="316">
        <f t="shared" si="138"/>
        <v>0</v>
      </c>
      <c r="K281" s="316">
        <f t="shared" si="138"/>
        <v>30.745923913043473</v>
      </c>
      <c r="L281" s="316">
        <f t="shared" si="138"/>
        <v>0</v>
      </c>
      <c r="M281" s="316">
        <f t="shared" si="138"/>
        <v>0</v>
      </c>
      <c r="N281" s="316">
        <f t="shared" si="138"/>
        <v>0</v>
      </c>
      <c r="O281" s="316">
        <f t="shared" si="138"/>
        <v>0</v>
      </c>
      <c r="P281" s="316">
        <f t="shared" si="138"/>
        <v>0</v>
      </c>
      <c r="Q281" s="185"/>
      <c r="R281" s="185"/>
      <c r="S281" s="185"/>
      <c r="T281" s="185"/>
      <c r="U281" s="137"/>
      <c r="V281" s="223"/>
      <c r="W281" s="223"/>
      <c r="X281" s="223"/>
      <c r="Y281" s="223"/>
      <c r="Z281" s="223"/>
    </row>
    <row r="282" spans="1:66" x14ac:dyDescent="0.25">
      <c r="B282" s="61" t="s">
        <v>13</v>
      </c>
      <c r="C282" s="136">
        <f>SUM(C273:C279)</f>
        <v>304</v>
      </c>
      <c r="D282" s="136">
        <f>SUM(D273:D279)</f>
        <v>304</v>
      </c>
      <c r="E282" s="136">
        <f>SUM(E273:E279)</f>
        <v>304</v>
      </c>
      <c r="F282" s="316">
        <f>SUM(F273:F279)</f>
        <v>152.64045777591974</v>
      </c>
      <c r="G282" s="316">
        <f t="shared" ref="G282:P282" si="139">SUM(G273:G279)</f>
        <v>43.607859531772576</v>
      </c>
      <c r="H282" s="316">
        <f t="shared" si="139"/>
        <v>18.437943472090826</v>
      </c>
      <c r="I282" s="316">
        <f t="shared" si="139"/>
        <v>35.571383779264217</v>
      </c>
      <c r="J282" s="316">
        <f t="shared" si="139"/>
        <v>9.3363041035950829</v>
      </c>
      <c r="K282" s="316">
        <f t="shared" si="139"/>
        <v>30.745923913043473</v>
      </c>
      <c r="L282" s="316">
        <f t="shared" si="139"/>
        <v>7.6601274243140978</v>
      </c>
      <c r="M282" s="316">
        <f t="shared" si="139"/>
        <v>6</v>
      </c>
      <c r="N282" s="316">
        <f t="shared" si="139"/>
        <v>0</v>
      </c>
      <c r="O282" s="316">
        <f t="shared" si="139"/>
        <v>0</v>
      </c>
      <c r="P282" s="316">
        <f t="shared" si="139"/>
        <v>0</v>
      </c>
      <c r="Q282" s="185">
        <f>SUM(F282:P282)</f>
        <v>304.00000000000006</v>
      </c>
      <c r="R282" s="185"/>
      <c r="S282" s="185"/>
      <c r="T282" s="185"/>
      <c r="U282" s="137"/>
      <c r="V282" s="223"/>
      <c r="W282" s="223"/>
      <c r="X282" s="223"/>
      <c r="Y282" s="223"/>
      <c r="Z282" s="223"/>
    </row>
    <row r="283" spans="1:66" ht="37.5" x14ac:dyDescent="0.3">
      <c r="B283" s="127" t="s">
        <v>160</v>
      </c>
      <c r="C283" s="137"/>
      <c r="D283" s="137"/>
      <c r="E283" s="137"/>
      <c r="F283" s="316"/>
      <c r="G283" s="316"/>
      <c r="H283" s="316"/>
      <c r="I283" s="316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37"/>
      <c r="V283" s="223"/>
      <c r="W283" s="223"/>
      <c r="X283" s="223"/>
      <c r="Y283" s="223"/>
      <c r="Z283" s="223"/>
    </row>
    <row r="284" spans="1:66" x14ac:dyDescent="0.25">
      <c r="B284" s="138" t="s">
        <v>13</v>
      </c>
      <c r="C284" s="139">
        <f>C282+C271+C266</f>
        <v>641</v>
      </c>
      <c r="D284" s="139">
        <f>D282+D271+D266</f>
        <v>680</v>
      </c>
      <c r="E284" s="139">
        <f>E282+E271+E266</f>
        <v>680</v>
      </c>
      <c r="F284" s="139">
        <f>F282+F271+F266</f>
        <v>196.81706705884696</v>
      </c>
      <c r="G284" s="139">
        <f t="shared" ref="G284:P284" si="140">G282+G271+G266</f>
        <v>109.01964882943143</v>
      </c>
      <c r="H284" s="139">
        <f t="shared" si="140"/>
        <v>34.01467188696671</v>
      </c>
      <c r="I284" s="139">
        <f t="shared" si="140"/>
        <v>88.928459448160538</v>
      </c>
      <c r="J284" s="139">
        <f t="shared" si="140"/>
        <v>17.223792946400419</v>
      </c>
      <c r="K284" s="139">
        <f t="shared" si="140"/>
        <v>76.864809782608688</v>
      </c>
      <c r="L284" s="139">
        <f t="shared" si="140"/>
        <v>14.131550047585261</v>
      </c>
      <c r="M284" s="139">
        <f t="shared" si="140"/>
        <v>75</v>
      </c>
      <c r="N284" s="139">
        <f t="shared" si="140"/>
        <v>68</v>
      </c>
      <c r="O284" s="139">
        <f t="shared" si="140"/>
        <v>0</v>
      </c>
      <c r="P284" s="139">
        <f t="shared" si="140"/>
        <v>0</v>
      </c>
      <c r="Q284" s="185"/>
      <c r="R284" s="185"/>
      <c r="S284" s="185"/>
      <c r="T284" s="185"/>
      <c r="U284" s="137"/>
      <c r="V284" s="223"/>
      <c r="W284" s="223"/>
      <c r="X284" s="223"/>
      <c r="Y284" s="223"/>
      <c r="Z284" s="223"/>
    </row>
    <row r="285" spans="1:66" x14ac:dyDescent="0.25">
      <c r="A285" s="315"/>
      <c r="B285" s="315"/>
      <c r="E285" s="185"/>
      <c r="F285" s="389" t="str">
        <f>IF(ISTEXT(F234),F234,"")</f>
        <v>Biomasse gesamt</v>
      </c>
      <c r="G285" s="389" t="str">
        <f t="shared" ref="G285:P286" si="141">IF(ISTEXT(G234),G234,"")</f>
        <v>Wasserkraft</v>
      </c>
      <c r="H285" s="389" t="str">
        <f t="shared" si="141"/>
        <v/>
      </c>
      <c r="I285" s="389" t="str">
        <f t="shared" si="141"/>
        <v>Photovoltaik</v>
      </c>
      <c r="J285" s="389" t="str">
        <f t="shared" si="141"/>
        <v/>
      </c>
      <c r="K285" s="389" t="str">
        <f t="shared" si="141"/>
        <v>Windenergie</v>
      </c>
      <c r="L285" s="389" t="str">
        <f t="shared" si="141"/>
        <v/>
      </c>
      <c r="M285" s="389" t="str">
        <f t="shared" si="141"/>
        <v>Solarthermie</v>
      </c>
      <c r="N285" s="389" t="str">
        <f t="shared" si="141"/>
        <v>Oberflächennahe Umweltwärme</v>
      </c>
      <c r="O285" s="389" t="str">
        <f t="shared" si="141"/>
        <v>Tiefe Geothermie</v>
      </c>
      <c r="P285" s="389" t="str">
        <f t="shared" si="141"/>
        <v/>
      </c>
      <c r="Q285" s="185"/>
      <c r="R285" s="326"/>
      <c r="S285" s="326"/>
      <c r="T285" s="385"/>
      <c r="U285" s="386"/>
      <c r="V285" s="387"/>
      <c r="W285" s="387"/>
      <c r="X285" s="387"/>
      <c r="Y285" s="387"/>
      <c r="Z285" s="387"/>
      <c r="AA285" s="388"/>
      <c r="AB285" s="388"/>
      <c r="AC285" s="388"/>
      <c r="AD285" s="388"/>
      <c r="AE285" s="388"/>
      <c r="AF285" s="388"/>
      <c r="AG285" s="388"/>
      <c r="AH285" s="388"/>
      <c r="AI285" s="388"/>
      <c r="AJ285" s="388"/>
      <c r="AK285" s="388"/>
      <c r="AL285" s="388"/>
      <c r="AM285" s="388"/>
      <c r="AN285" s="388"/>
      <c r="AO285" s="388"/>
      <c r="AP285" s="388"/>
      <c r="AQ285" s="388"/>
      <c r="AR285" s="388"/>
      <c r="AS285" s="388"/>
      <c r="AT285" s="388"/>
      <c r="AU285" s="388"/>
      <c r="AV285" s="388"/>
      <c r="AW285" s="388"/>
      <c r="AX285" s="388"/>
      <c r="AY285" s="388"/>
      <c r="AZ285" s="388"/>
      <c r="BA285" s="388"/>
      <c r="BB285" s="388"/>
      <c r="BC285" s="388"/>
      <c r="BD285" s="388"/>
      <c r="BE285" s="388"/>
      <c r="BF285" s="388"/>
      <c r="BG285" s="388"/>
      <c r="BH285" s="388"/>
      <c r="BI285" s="388"/>
      <c r="BJ285" s="388"/>
      <c r="BK285" s="388"/>
      <c r="BL285" s="388"/>
      <c r="BM285" s="388"/>
      <c r="BN285" s="388"/>
    </row>
    <row r="286" spans="1:66" x14ac:dyDescent="0.25">
      <c r="A286" s="315"/>
      <c r="B286" s="315"/>
      <c r="E286" s="185"/>
      <c r="F286" s="389" t="str">
        <f t="shared" ref="F286:O286" si="142">IF(ISTEXT(F235),F235,"")</f>
        <v/>
      </c>
      <c r="G286" s="389" t="str">
        <f t="shared" si="142"/>
        <v/>
      </c>
      <c r="H286" s="389" t="str">
        <f t="shared" si="142"/>
        <v>Methanisierung</v>
      </c>
      <c r="I286" s="389" t="str">
        <f t="shared" si="142"/>
        <v/>
      </c>
      <c r="J286" s="389" t="str">
        <f t="shared" si="142"/>
        <v>Methanisierung</v>
      </c>
      <c r="K286" s="389" t="str">
        <f t="shared" si="142"/>
        <v/>
      </c>
      <c r="L286" s="389" t="str">
        <f t="shared" si="142"/>
        <v>Methanisierung</v>
      </c>
      <c r="M286" s="389" t="str">
        <f t="shared" si="142"/>
        <v/>
      </c>
      <c r="N286" s="389" t="str">
        <f t="shared" si="142"/>
        <v/>
      </c>
      <c r="O286" s="389" t="str">
        <f t="shared" si="142"/>
        <v/>
      </c>
      <c r="P286" s="389" t="str">
        <f t="shared" si="141"/>
        <v>Methanisierung</v>
      </c>
      <c r="Q286" s="185"/>
      <c r="R286" s="326"/>
      <c r="S286" s="326"/>
      <c r="T286" s="385"/>
      <c r="U286" s="390"/>
      <c r="V286" s="391"/>
      <c r="W286" s="391"/>
      <c r="X286" s="391"/>
      <c r="Y286" s="391"/>
      <c r="Z286" s="391"/>
      <c r="AA286" s="388"/>
      <c r="AB286" s="388"/>
      <c r="AC286" s="388"/>
      <c r="AD286" s="388"/>
      <c r="AE286" s="388"/>
      <c r="AF286" s="388"/>
      <c r="AG286" s="388"/>
      <c r="AH286" s="388"/>
      <c r="AI286" s="388"/>
      <c r="AJ286" s="388"/>
      <c r="AK286" s="388"/>
      <c r="AL286" s="388"/>
      <c r="AM286" s="388"/>
      <c r="AN286" s="388"/>
      <c r="AO286" s="388"/>
      <c r="AP286" s="388"/>
      <c r="AQ286" s="388"/>
      <c r="AR286" s="388"/>
      <c r="AS286" s="388"/>
      <c r="AT286" s="388"/>
      <c r="AU286" s="388"/>
      <c r="AV286" s="388"/>
      <c r="AW286" s="388"/>
      <c r="AX286" s="388"/>
      <c r="AY286" s="388"/>
      <c r="AZ286" s="388"/>
      <c r="BA286" s="388"/>
      <c r="BB286" s="388"/>
      <c r="BC286" s="388"/>
      <c r="BD286" s="388"/>
      <c r="BE286" s="388"/>
      <c r="BF286" s="388"/>
      <c r="BG286" s="388"/>
      <c r="BH286" s="388"/>
      <c r="BI286" s="388"/>
      <c r="BJ286" s="388"/>
      <c r="BK286" s="388"/>
      <c r="BL286" s="388"/>
      <c r="BM286" s="388"/>
      <c r="BN286" s="388"/>
    </row>
    <row r="287" spans="1:66" x14ac:dyDescent="0.25">
      <c r="A287" s="360"/>
      <c r="B287" s="360"/>
      <c r="C287" s="371" t="s">
        <v>566</v>
      </c>
      <c r="D287" s="360"/>
      <c r="E287" s="360"/>
      <c r="F287" s="369">
        <v>1</v>
      </c>
      <c r="G287" s="369">
        <v>1</v>
      </c>
      <c r="H287" s="369"/>
      <c r="I287" s="369">
        <v>0</v>
      </c>
      <c r="J287" s="369"/>
      <c r="K287" s="369">
        <v>1</v>
      </c>
      <c r="L287" s="369"/>
      <c r="M287" s="369">
        <v>0</v>
      </c>
      <c r="N287" s="369">
        <v>0</v>
      </c>
      <c r="O287" s="369">
        <v>1</v>
      </c>
      <c r="P287" s="360"/>
      <c r="Q287" s="371" t="s">
        <v>567</v>
      </c>
      <c r="R287" s="360"/>
      <c r="S287" s="360"/>
      <c r="T287" s="360"/>
      <c r="U287" s="360"/>
      <c r="V287" s="360"/>
      <c r="W287" s="360"/>
      <c r="X287" s="360"/>
      <c r="Y287" s="360"/>
      <c r="Z287" s="360"/>
      <c r="AA287" s="360"/>
      <c r="AB287" s="360"/>
      <c r="AC287" s="360"/>
      <c r="AD287" s="360"/>
      <c r="AE287" s="360"/>
      <c r="AF287" s="360"/>
      <c r="AG287" s="360"/>
      <c r="AH287" s="360"/>
      <c r="AI287" s="360"/>
      <c r="AJ287" s="360"/>
      <c r="AK287" s="360"/>
      <c r="AL287" s="360"/>
      <c r="AM287" s="360"/>
      <c r="AN287" s="360"/>
      <c r="AO287" s="360"/>
      <c r="AP287" s="360"/>
      <c r="AQ287" s="360"/>
      <c r="AR287" s="360"/>
      <c r="AS287" s="360"/>
      <c r="AT287" s="360"/>
      <c r="AU287" s="360"/>
      <c r="AV287" s="360"/>
      <c r="AW287" s="360"/>
      <c r="AX287" s="360"/>
      <c r="AY287" s="360"/>
      <c r="AZ287" s="360"/>
      <c r="BA287" s="360"/>
      <c r="BB287" s="360"/>
      <c r="BC287" s="360"/>
      <c r="BD287" s="360"/>
      <c r="BE287" s="360"/>
      <c r="BF287" s="360"/>
      <c r="BG287" s="360"/>
      <c r="BH287" s="360"/>
      <c r="BI287" s="360"/>
      <c r="BJ287" s="360"/>
      <c r="BK287" s="360"/>
      <c r="BL287" s="360"/>
      <c r="BM287" s="360"/>
      <c r="BN287" s="360"/>
    </row>
    <row r="288" spans="1:66" x14ac:dyDescent="0.25">
      <c r="A288" s="360"/>
      <c r="B288" s="360"/>
      <c r="C288" s="371"/>
      <c r="D288" s="372" t="s">
        <v>568</v>
      </c>
      <c r="E288" s="185">
        <f>SUM(F288:P288)</f>
        <v>219.41666666666666</v>
      </c>
      <c r="F288" s="369">
        <f>F240*F287</f>
        <v>11.4</v>
      </c>
      <c r="G288" s="369">
        <f>G240*G287</f>
        <v>122</v>
      </c>
      <c r="H288" s="369"/>
      <c r="I288" s="369">
        <f>I240*I287</f>
        <v>0</v>
      </c>
      <c r="J288" s="369"/>
      <c r="K288" s="369">
        <f>K240*K287</f>
        <v>86.016666666666652</v>
      </c>
      <c r="L288" s="369"/>
      <c r="M288" s="369">
        <f>M240*M287</f>
        <v>0</v>
      </c>
      <c r="N288" s="369">
        <f>N240*N287</f>
        <v>0</v>
      </c>
      <c r="O288" s="369">
        <f>O240*O287</f>
        <v>0</v>
      </c>
      <c r="P288" s="360"/>
      <c r="Q288" s="371" t="s">
        <v>92</v>
      </c>
      <c r="R288" s="360"/>
      <c r="S288" s="360"/>
      <c r="T288" s="360"/>
      <c r="U288" s="360"/>
      <c r="V288" s="360"/>
      <c r="W288" s="360"/>
      <c r="X288" s="360"/>
      <c r="Y288" s="360"/>
      <c r="Z288" s="360"/>
      <c r="AA288" s="360"/>
      <c r="AB288" s="360"/>
      <c r="AC288" s="360"/>
      <c r="AD288" s="360"/>
      <c r="AE288" s="360"/>
      <c r="AF288" s="360"/>
      <c r="AG288" s="360"/>
      <c r="AH288" s="360"/>
      <c r="AI288" s="360"/>
      <c r="AJ288" s="360"/>
      <c r="AK288" s="360"/>
      <c r="AL288" s="360"/>
      <c r="AM288" s="360"/>
      <c r="AN288" s="360"/>
      <c r="AO288" s="360"/>
      <c r="AP288" s="360"/>
      <c r="AQ288" s="360"/>
      <c r="AR288" s="360"/>
      <c r="AS288" s="360"/>
      <c r="AT288" s="360"/>
      <c r="AU288" s="360"/>
      <c r="AV288" s="360"/>
      <c r="AW288" s="360"/>
      <c r="AX288" s="360"/>
      <c r="AY288" s="360"/>
      <c r="AZ288" s="360"/>
      <c r="BA288" s="360"/>
      <c r="BB288" s="360"/>
      <c r="BC288" s="360"/>
      <c r="BD288" s="360"/>
      <c r="BE288" s="360"/>
      <c r="BF288" s="360"/>
      <c r="BG288" s="360"/>
      <c r="BH288" s="360"/>
      <c r="BI288" s="360"/>
      <c r="BJ288" s="360"/>
      <c r="BK288" s="360"/>
      <c r="BL288" s="360"/>
      <c r="BM288" s="360"/>
      <c r="BN288" s="360"/>
    </row>
    <row r="289" spans="1:66" x14ac:dyDescent="0.25">
      <c r="A289" s="360"/>
      <c r="B289" s="360"/>
      <c r="C289" s="371"/>
      <c r="D289" s="372" t="s">
        <v>569</v>
      </c>
      <c r="E289" s="185">
        <f>SUM(F289:P289)</f>
        <v>194.60545861204011</v>
      </c>
      <c r="F289" s="392">
        <f>F288*S253</f>
        <v>8.7210000000000001</v>
      </c>
      <c r="G289" s="369">
        <f>G288*G253</f>
        <v>109.01964882943143</v>
      </c>
      <c r="H289" s="369"/>
      <c r="I289" s="369">
        <f>I288*I253</f>
        <v>0</v>
      </c>
      <c r="J289" s="369"/>
      <c r="K289" s="369">
        <f>K288*K253</f>
        <v>76.864809782608674</v>
      </c>
      <c r="L289" s="369"/>
      <c r="M289" s="369">
        <f>M288*M253</f>
        <v>0</v>
      </c>
      <c r="N289" s="369">
        <f>N288*N253</f>
        <v>0</v>
      </c>
      <c r="O289" s="369">
        <f>O288*O253</f>
        <v>0</v>
      </c>
      <c r="P289" s="360"/>
      <c r="Q289" s="371" t="s">
        <v>92</v>
      </c>
      <c r="R289" s="360"/>
      <c r="S289" s="360"/>
      <c r="T289" s="360"/>
      <c r="U289" s="360"/>
      <c r="V289" s="360"/>
      <c r="W289" s="360"/>
      <c r="X289" s="360"/>
      <c r="Y289" s="360"/>
      <c r="Z289" s="360"/>
      <c r="AA289" s="360"/>
      <c r="AB289" s="360"/>
      <c r="AC289" s="360"/>
      <c r="AD289" s="360"/>
      <c r="AE289" s="360"/>
      <c r="AF289" s="360"/>
      <c r="AG289" s="360"/>
      <c r="AH289" s="360"/>
      <c r="AI289" s="360"/>
      <c r="AJ289" s="360"/>
      <c r="AK289" s="360"/>
      <c r="AL289" s="360"/>
      <c r="AM289" s="360"/>
      <c r="AN289" s="360"/>
      <c r="AO289" s="360"/>
      <c r="AP289" s="360"/>
      <c r="AQ289" s="360"/>
      <c r="AR289" s="360"/>
      <c r="AS289" s="360"/>
      <c r="AT289" s="360"/>
      <c r="AU289" s="360"/>
      <c r="AV289" s="360"/>
      <c r="AW289" s="360"/>
      <c r="AX289" s="360"/>
      <c r="AY289" s="360"/>
      <c r="AZ289" s="360"/>
      <c r="BA289" s="360"/>
      <c r="BB289" s="360"/>
      <c r="BC289" s="360"/>
      <c r="BD289" s="360"/>
      <c r="BE289" s="360"/>
      <c r="BF289" s="360"/>
      <c r="BG289" s="360"/>
      <c r="BH289" s="360"/>
      <c r="BI289" s="360"/>
      <c r="BJ289" s="360"/>
      <c r="BK289" s="360"/>
      <c r="BL289" s="360"/>
      <c r="BM289" s="360"/>
      <c r="BN289" s="360"/>
    </row>
    <row r="290" spans="1:66" x14ac:dyDescent="0.25">
      <c r="A290" s="388"/>
      <c r="B290" s="393" t="s">
        <v>570</v>
      </c>
      <c r="C290" s="92" t="s">
        <v>566</v>
      </c>
      <c r="D290" s="92" t="s">
        <v>13</v>
      </c>
      <c r="E290" s="324" t="s">
        <v>571</v>
      </c>
      <c r="F290" s="384"/>
      <c r="G290" s="384"/>
      <c r="H290" s="384"/>
      <c r="I290" s="384"/>
      <c r="J290" s="385"/>
      <c r="K290" s="385"/>
      <c r="L290" s="385"/>
      <c r="M290" s="385"/>
      <c r="N290" s="385"/>
      <c r="O290" s="326"/>
      <c r="P290" s="394"/>
      <c r="Q290" s="326"/>
      <c r="R290" s="388"/>
      <c r="S290" s="326"/>
      <c r="T290" s="385"/>
      <c r="U290" s="386"/>
      <c r="V290" s="387"/>
      <c r="W290" s="387"/>
      <c r="X290" s="387"/>
      <c r="Y290" s="387"/>
      <c r="Z290" s="387"/>
      <c r="AA290" s="388"/>
      <c r="AB290" s="388"/>
      <c r="AC290" s="388"/>
      <c r="AD290" s="388"/>
      <c r="AE290" s="388"/>
      <c r="AF290" s="388"/>
      <c r="AG290" s="388"/>
      <c r="AH290" s="388"/>
      <c r="AI290" s="388"/>
      <c r="AJ290" s="388"/>
      <c r="AK290" s="388"/>
      <c r="AL290" s="388"/>
      <c r="AM290" s="388"/>
      <c r="AN290" s="388"/>
      <c r="AO290" s="388"/>
      <c r="AP290" s="388"/>
      <c r="AQ290" s="388"/>
      <c r="AR290" s="388"/>
      <c r="AS290" s="388"/>
      <c r="AT290" s="388"/>
      <c r="AU290" s="388"/>
      <c r="AV290" s="388"/>
      <c r="AW290" s="388"/>
      <c r="AX290" s="388"/>
      <c r="AY290" s="388"/>
      <c r="AZ290" s="388"/>
      <c r="BA290" s="388"/>
      <c r="BB290" s="388"/>
      <c r="BC290" s="388"/>
      <c r="BD290" s="388"/>
      <c r="BE290" s="388"/>
      <c r="BF290" s="388"/>
      <c r="BG290" s="388"/>
      <c r="BH290" s="388"/>
      <c r="BI290" s="388"/>
      <c r="BJ290" s="388"/>
      <c r="BK290" s="388"/>
      <c r="BL290" s="388"/>
      <c r="BM290" s="388"/>
      <c r="BN290" s="388"/>
    </row>
    <row r="291" spans="1:66" x14ac:dyDescent="0.25">
      <c r="B291" t="str">
        <f>B270</f>
        <v>Elektrizität Mobilität</v>
      </c>
      <c r="C291" s="395">
        <f>[3]Mobilität!B49</f>
        <v>0.75137661982242443</v>
      </c>
      <c r="D291" s="185">
        <f>D270</f>
        <v>82</v>
      </c>
      <c r="E291" s="375">
        <f t="shared" ref="E291:E298" si="143">SUM(F291:P291)</f>
        <v>61.612882825438803</v>
      </c>
      <c r="F291" s="316">
        <f t="shared" ref="F291:O293" si="144">F$227*$D291*$C291</f>
        <v>3.2011554768401176</v>
      </c>
      <c r="G291" s="316">
        <f t="shared" si="144"/>
        <v>34.257979664429321</v>
      </c>
      <c r="H291" s="316">
        <f t="shared" si="144"/>
        <v>0</v>
      </c>
      <c r="I291" s="316">
        <f t="shared" si="144"/>
        <v>0</v>
      </c>
      <c r="J291" s="316">
        <f t="shared" si="144"/>
        <v>0</v>
      </c>
      <c r="K291" s="316">
        <f t="shared" si="144"/>
        <v>24.153747684169357</v>
      </c>
      <c r="L291" s="316">
        <f t="shared" si="144"/>
        <v>0</v>
      </c>
      <c r="M291" s="316">
        <f t="shared" si="144"/>
        <v>0</v>
      </c>
      <c r="N291" s="316">
        <f t="shared" si="144"/>
        <v>0</v>
      </c>
      <c r="O291" s="316">
        <f t="shared" si="144"/>
        <v>0</v>
      </c>
      <c r="P291" s="322"/>
      <c r="Q291" s="371" t="s">
        <v>92</v>
      </c>
      <c r="S291" s="322"/>
      <c r="T291" s="322"/>
      <c r="U291" s="137"/>
      <c r="V291" s="139"/>
      <c r="W291" s="139"/>
      <c r="X291" s="139"/>
      <c r="Y291" s="139"/>
      <c r="Z291" s="139"/>
    </row>
    <row r="292" spans="1:66" x14ac:dyDescent="0.25">
      <c r="B292" t="str">
        <f>B275</f>
        <v>Wärme HT elektrisch</v>
      </c>
      <c r="C292" s="383">
        <v>1</v>
      </c>
      <c r="D292" s="185">
        <f>D275</f>
        <v>25</v>
      </c>
      <c r="E292" s="375">
        <f t="shared" si="143"/>
        <v>25</v>
      </c>
      <c r="F292" s="316">
        <f t="shared" si="144"/>
        <v>1.2988985947588305</v>
      </c>
      <c r="G292" s="316">
        <f t="shared" si="144"/>
        <v>13.900493733383973</v>
      </c>
      <c r="H292" s="316">
        <f t="shared" si="144"/>
        <v>0</v>
      </c>
      <c r="I292" s="316">
        <f t="shared" si="144"/>
        <v>0</v>
      </c>
      <c r="J292" s="316">
        <f t="shared" si="144"/>
        <v>0</v>
      </c>
      <c r="K292" s="316">
        <f t="shared" si="144"/>
        <v>9.8006076718571951</v>
      </c>
      <c r="L292" s="316">
        <f t="shared" si="144"/>
        <v>0</v>
      </c>
      <c r="M292" s="316">
        <f t="shared" si="144"/>
        <v>0</v>
      </c>
      <c r="N292" s="316">
        <f t="shared" si="144"/>
        <v>0</v>
      </c>
      <c r="O292" s="316">
        <f t="shared" si="144"/>
        <v>0</v>
      </c>
      <c r="Q292" s="371" t="s">
        <v>92</v>
      </c>
    </row>
    <row r="293" spans="1:66" x14ac:dyDescent="0.25">
      <c r="B293" t="str">
        <f>B279</f>
        <v>Elektrisch Industrie</v>
      </c>
      <c r="C293" s="383">
        <v>0.8</v>
      </c>
      <c r="D293" s="185">
        <f>D279</f>
        <v>89</v>
      </c>
      <c r="E293" s="375">
        <f t="shared" si="143"/>
        <v>71.2</v>
      </c>
      <c r="F293" s="316">
        <f t="shared" si="144"/>
        <v>3.6992631978731492</v>
      </c>
      <c r="G293" s="316">
        <f t="shared" si="144"/>
        <v>39.588606152677556</v>
      </c>
      <c r="H293" s="316">
        <f t="shared" si="144"/>
        <v>0</v>
      </c>
      <c r="I293" s="316">
        <f t="shared" si="144"/>
        <v>0</v>
      </c>
      <c r="J293" s="316">
        <f t="shared" si="144"/>
        <v>0</v>
      </c>
      <c r="K293" s="316">
        <f t="shared" si="144"/>
        <v>27.912130649449292</v>
      </c>
      <c r="L293" s="316">
        <f t="shared" si="144"/>
        <v>0</v>
      </c>
      <c r="M293" s="316">
        <f t="shared" si="144"/>
        <v>0</v>
      </c>
      <c r="N293" s="316">
        <f t="shared" si="144"/>
        <v>0</v>
      </c>
      <c r="O293" s="316">
        <f t="shared" si="144"/>
        <v>0</v>
      </c>
      <c r="Q293" s="371" t="s">
        <v>92</v>
      </c>
    </row>
    <row r="294" spans="1:66" x14ac:dyDescent="0.25">
      <c r="A294" s="92"/>
      <c r="B294" s="92" t="s">
        <v>9</v>
      </c>
      <c r="D294" s="185">
        <f>SUM(D291:D293)</f>
        <v>196</v>
      </c>
      <c r="E294" s="375">
        <f t="shared" si="143"/>
        <v>157.81288282543881</v>
      </c>
      <c r="F294" s="316">
        <f>SUM(F291:F293)</f>
        <v>8.1993172694720968</v>
      </c>
      <c r="G294" s="316">
        <f t="shared" ref="G294:O294" si="145">SUM(G291:G293)</f>
        <v>87.747079550490852</v>
      </c>
      <c r="H294" s="316">
        <f t="shared" si="145"/>
        <v>0</v>
      </c>
      <c r="I294" s="316">
        <f t="shared" si="145"/>
        <v>0</v>
      </c>
      <c r="J294" s="316">
        <f t="shared" si="145"/>
        <v>0</v>
      </c>
      <c r="K294" s="316">
        <f t="shared" si="145"/>
        <v>61.866486005475849</v>
      </c>
      <c r="L294" s="316">
        <f t="shared" si="145"/>
        <v>0</v>
      </c>
      <c r="M294" s="316">
        <f t="shared" si="145"/>
        <v>0</v>
      </c>
      <c r="N294" s="316">
        <f t="shared" si="145"/>
        <v>0</v>
      </c>
      <c r="O294" s="316">
        <f t="shared" si="145"/>
        <v>0</v>
      </c>
      <c r="Q294" s="371" t="s">
        <v>92</v>
      </c>
      <c r="S294">
        <v>1</v>
      </c>
      <c r="T294" t="s">
        <v>572</v>
      </c>
    </row>
    <row r="295" spans="1:66" x14ac:dyDescent="0.25">
      <c r="A295" s="360"/>
      <c r="B295" s="370" t="s">
        <v>573</v>
      </c>
      <c r="C295" s="371"/>
      <c r="D295" s="185"/>
      <c r="E295" s="183">
        <f t="shared" si="143"/>
        <v>36.792575786601304</v>
      </c>
      <c r="F295" s="392">
        <f>F289-F294</f>
        <v>0.52168273052790326</v>
      </c>
      <c r="G295" s="369">
        <f t="shared" ref="G295:O295" si="146">G289-G294</f>
        <v>21.27256927894058</v>
      </c>
      <c r="H295" s="369">
        <f t="shared" si="146"/>
        <v>0</v>
      </c>
      <c r="I295" s="369">
        <f t="shared" si="146"/>
        <v>0</v>
      </c>
      <c r="J295" s="369">
        <f t="shared" si="146"/>
        <v>0</v>
      </c>
      <c r="K295" s="369">
        <f t="shared" si="146"/>
        <v>14.998323777132825</v>
      </c>
      <c r="L295" s="369">
        <f t="shared" si="146"/>
        <v>0</v>
      </c>
      <c r="M295" s="369">
        <f t="shared" si="146"/>
        <v>0</v>
      </c>
      <c r="N295" s="369">
        <f t="shared" si="146"/>
        <v>0</v>
      </c>
      <c r="O295" s="369">
        <f t="shared" si="146"/>
        <v>0</v>
      </c>
      <c r="P295" s="360"/>
      <c r="Q295" s="371" t="s">
        <v>92</v>
      </c>
      <c r="R295" s="360"/>
      <c r="S295" s="360">
        <f>1/3.6*1000000000</f>
        <v>277777777.77777779</v>
      </c>
      <c r="T295" s="360" t="s">
        <v>574</v>
      </c>
      <c r="U295" s="360"/>
      <c r="V295" s="360"/>
      <c r="W295" s="360"/>
      <c r="X295" s="360"/>
      <c r="Y295" s="360"/>
      <c r="Z295" s="360"/>
      <c r="AA295" s="360"/>
      <c r="AB295" s="360"/>
      <c r="AC295" s="360"/>
      <c r="AD295" s="360"/>
      <c r="AE295" s="360"/>
      <c r="AF295" s="360"/>
      <c r="AG295" s="360"/>
      <c r="AH295" s="360"/>
      <c r="AI295" s="360"/>
      <c r="AJ295" s="360"/>
      <c r="AK295" s="360"/>
      <c r="AL295" s="360"/>
      <c r="AM295" s="360"/>
      <c r="AN295" s="360"/>
      <c r="AO295" s="360"/>
      <c r="AP295" s="360"/>
      <c r="AQ295" s="360"/>
      <c r="AR295" s="360"/>
      <c r="AS295" s="360"/>
      <c r="AT295" s="360"/>
      <c r="AU295" s="360"/>
      <c r="AV295" s="360"/>
      <c r="AW295" s="360"/>
      <c r="AX295" s="360"/>
      <c r="AY295" s="360"/>
      <c r="AZ295" s="360"/>
      <c r="BA295" s="360"/>
      <c r="BB295" s="360"/>
      <c r="BC295" s="360"/>
      <c r="BD295" s="360"/>
      <c r="BE295" s="360"/>
      <c r="BF295" s="360"/>
      <c r="BG295" s="360"/>
      <c r="BH295" s="360"/>
      <c r="BI295" s="360"/>
      <c r="BJ295" s="360"/>
      <c r="BK295" s="360"/>
      <c r="BL295" s="360"/>
      <c r="BM295" s="360"/>
      <c r="BN295" s="360"/>
    </row>
    <row r="296" spans="1:66" x14ac:dyDescent="0.25">
      <c r="B296" s="92" t="s">
        <v>575</v>
      </c>
      <c r="C296" s="186">
        <f>[3]Way2smartKenndatenFlächen!K6</f>
        <v>9460000</v>
      </c>
      <c r="D296" s="185">
        <f>E296/44</f>
        <v>24.553526669043301</v>
      </c>
      <c r="E296" s="136">
        <f t="shared" si="143"/>
        <v>1080.3551734379053</v>
      </c>
      <c r="F296" s="316">
        <f>F295*1000000000/3.6/$C296</f>
        <v>15.318379449374655</v>
      </c>
      <c r="G296" s="316">
        <f t="shared" ref="G296:O296" si="147">G295*1000000000/3.6/$C296</f>
        <v>624.63499174713934</v>
      </c>
      <c r="H296" s="316">
        <f t="shared" si="147"/>
        <v>0</v>
      </c>
      <c r="I296" s="316">
        <f t="shared" si="147"/>
        <v>0</v>
      </c>
      <c r="J296" s="316">
        <f t="shared" si="147"/>
        <v>0</v>
      </c>
      <c r="K296" s="316">
        <f t="shared" si="147"/>
        <v>440.40180224139135</v>
      </c>
      <c r="L296" s="316">
        <f t="shared" si="147"/>
        <v>0</v>
      </c>
      <c r="M296" s="316">
        <f t="shared" si="147"/>
        <v>0</v>
      </c>
      <c r="N296" s="316">
        <f t="shared" si="147"/>
        <v>0</v>
      </c>
      <c r="O296" s="316">
        <f t="shared" si="147"/>
        <v>0</v>
      </c>
      <c r="P296" s="185"/>
      <c r="Q296" s="324" t="s">
        <v>390</v>
      </c>
      <c r="S296" s="185">
        <f>E296*C296/1000000</f>
        <v>10220.159940722584</v>
      </c>
      <c r="T296" s="185" t="s">
        <v>574</v>
      </c>
      <c r="U296" s="137"/>
      <c r="V296" s="223"/>
      <c r="W296" s="223"/>
      <c r="X296" s="223"/>
      <c r="Y296" s="223"/>
      <c r="Z296" s="223"/>
    </row>
    <row r="297" spans="1:66" x14ac:dyDescent="0.25">
      <c r="B297" t="str">
        <f t="shared" ref="B297:D298" si="148">B260</f>
        <v>Elektrizität für Kühlen und E-Geräte</v>
      </c>
      <c r="C297">
        <f t="shared" si="148"/>
        <v>66</v>
      </c>
      <c r="D297" s="185">
        <f t="shared" si="148"/>
        <v>66</v>
      </c>
      <c r="E297" s="375">
        <f t="shared" si="143"/>
        <v>0</v>
      </c>
      <c r="F297" s="316"/>
      <c r="G297" s="316"/>
      <c r="H297" s="316"/>
      <c r="I297" s="316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37"/>
      <c r="V297" s="223"/>
      <c r="W297" s="223"/>
      <c r="X297" s="223"/>
      <c r="Y297" s="223"/>
      <c r="Z297" s="223"/>
    </row>
    <row r="298" spans="1:66" x14ac:dyDescent="0.25">
      <c r="A298" s="388"/>
      <c r="B298" t="str">
        <f t="shared" si="148"/>
        <v>Elektrizität für Wärmepumpe</v>
      </c>
      <c r="C298">
        <f t="shared" si="148"/>
        <v>23</v>
      </c>
      <c r="D298" s="185">
        <f t="shared" si="148"/>
        <v>23</v>
      </c>
      <c r="E298" s="375">
        <f t="shared" si="143"/>
        <v>0</v>
      </c>
      <c r="F298" s="316"/>
      <c r="G298" s="316"/>
      <c r="H298" s="316"/>
      <c r="I298" s="316"/>
      <c r="J298" s="185"/>
      <c r="K298" s="185"/>
      <c r="L298" s="185"/>
      <c r="M298" s="185"/>
      <c r="N298" s="185"/>
      <c r="O298" s="185"/>
      <c r="P298" s="185"/>
      <c r="Q298" s="185"/>
      <c r="R298" s="326"/>
      <c r="S298" s="326"/>
      <c r="T298" s="385"/>
      <c r="U298" s="386"/>
      <c r="V298" s="387"/>
      <c r="W298" s="387"/>
      <c r="X298" s="387"/>
      <c r="Y298" s="387"/>
      <c r="Z298" s="387"/>
      <c r="AA298" s="388"/>
      <c r="AB298" s="388"/>
      <c r="AC298" s="388"/>
      <c r="AD298" s="388"/>
      <c r="AE298" s="388"/>
      <c r="AF298" s="388"/>
      <c r="AG298" s="388"/>
      <c r="AH298" s="388"/>
      <c r="AI298" s="388"/>
      <c r="AJ298" s="388"/>
      <c r="AK298" s="388"/>
      <c r="AL298" s="388"/>
      <c r="AM298" s="388"/>
      <c r="AN298" s="388"/>
      <c r="AO298" s="388"/>
      <c r="AP298" s="388"/>
      <c r="AQ298" s="388"/>
      <c r="AR298" s="388"/>
      <c r="AS298" s="388"/>
      <c r="AT298" s="388"/>
      <c r="AU298" s="388"/>
      <c r="AV298" s="388"/>
      <c r="AW298" s="388"/>
      <c r="AX298" s="388"/>
      <c r="AY298" s="388"/>
      <c r="AZ298" s="388"/>
      <c r="BA298" s="388"/>
      <c r="BB298" s="388"/>
      <c r="BC298" s="388"/>
      <c r="BD298" s="388"/>
      <c r="BE298" s="388"/>
      <c r="BF298" s="388"/>
      <c r="BG298" s="388"/>
      <c r="BH298" s="388"/>
      <c r="BI298" s="388"/>
      <c r="BJ298" s="388"/>
      <c r="BK298" s="388"/>
      <c r="BL298" s="388"/>
      <c r="BM298" s="388"/>
      <c r="BN298" s="388"/>
    </row>
    <row r="299" spans="1:66" x14ac:dyDescent="0.25">
      <c r="A299" s="92"/>
      <c r="D299" s="185"/>
      <c r="E299" s="396">
        <f>D291+D292+D293+D297+D298-E291-E292-E293-E295-2.9</f>
        <v>87.49454138795987</v>
      </c>
      <c r="F299" s="316"/>
      <c r="G299" s="316"/>
      <c r="H299" s="316"/>
      <c r="U299" s="380"/>
      <c r="V299" s="191"/>
      <c r="W299" s="381"/>
      <c r="X299" s="382"/>
      <c r="Y299" s="381"/>
      <c r="Z299" s="381"/>
    </row>
    <row r="300" spans="1:66" x14ac:dyDescent="0.25">
      <c r="A300" s="92"/>
      <c r="B300" s="92" t="s">
        <v>350</v>
      </c>
      <c r="C300" s="186">
        <f>[3]Way2smartKenndatenFlächen!S6</f>
        <v>20403.335767750003</v>
      </c>
      <c r="D300" s="92" t="s">
        <v>576</v>
      </c>
      <c r="E300" s="322">
        <f>E296/1000*C300</f>
        <v>22042.849352079371</v>
      </c>
      <c r="F300" s="316"/>
      <c r="U300" s="380"/>
      <c r="V300" s="191"/>
      <c r="W300" s="381"/>
      <c r="X300" s="382"/>
      <c r="Y300" s="381"/>
      <c r="Z300" s="381"/>
    </row>
    <row r="301" spans="1:66" x14ac:dyDescent="0.25">
      <c r="A301" s="92"/>
      <c r="B301" s="92"/>
      <c r="C301" s="186"/>
      <c r="D301" s="92"/>
      <c r="E301" s="185"/>
      <c r="F301" s="316"/>
      <c r="U301" s="380"/>
      <c r="V301" s="191"/>
      <c r="W301" s="381"/>
      <c r="X301" s="382"/>
      <c r="Y301" s="381"/>
      <c r="Z301" s="381"/>
    </row>
    <row r="302" spans="1:66" ht="90" x14ac:dyDescent="0.25">
      <c r="A302" s="92"/>
      <c r="C302" s="397" t="s">
        <v>577</v>
      </c>
      <c r="D302" s="398" t="s">
        <v>578</v>
      </c>
      <c r="E302" s="398" t="s">
        <v>579</v>
      </c>
      <c r="F302" s="398" t="s">
        <v>580</v>
      </c>
      <c r="G302" s="398" t="s">
        <v>581</v>
      </c>
      <c r="H302" s="361" t="s">
        <v>9</v>
      </c>
      <c r="U302" s="380"/>
      <c r="V302" s="191"/>
      <c r="W302" s="381"/>
      <c r="X302" s="382"/>
      <c r="Y302" s="381"/>
      <c r="Z302" s="381"/>
    </row>
    <row r="303" spans="1:66" x14ac:dyDescent="0.25">
      <c r="A303" s="92"/>
      <c r="C303" s="202" t="s">
        <v>582</v>
      </c>
      <c r="D303" s="137"/>
      <c r="E303" s="223">
        <f>E295</f>
        <v>36.792575786601304</v>
      </c>
      <c r="F303" s="223">
        <f>I251</f>
        <v>88.928459448160538</v>
      </c>
      <c r="G303" s="223">
        <f>J238</f>
        <v>27.85</v>
      </c>
      <c r="H303" s="223">
        <f>SUM(F303:G303)</f>
        <v>116.77845944816053</v>
      </c>
      <c r="I303" s="202" t="s">
        <v>92</v>
      </c>
      <c r="J303" s="92" t="s">
        <v>583</v>
      </c>
      <c r="R303" s="324" t="s">
        <v>390</v>
      </c>
      <c r="U303" s="380"/>
      <c r="V303" s="191"/>
      <c r="W303" s="381"/>
      <c r="X303" s="382"/>
      <c r="Y303" s="381"/>
      <c r="Z303" s="381"/>
    </row>
    <row r="304" spans="1:66" x14ac:dyDescent="0.25">
      <c r="A304" s="92"/>
      <c r="C304" s="202" t="s">
        <v>584</v>
      </c>
      <c r="D304" s="137"/>
      <c r="E304" s="223">
        <f>E296</f>
        <v>1080.3551734379053</v>
      </c>
      <c r="F304" s="223">
        <f>F303*1000000000/3.6/$C$296</f>
        <v>2611.2420556777233</v>
      </c>
      <c r="G304" s="223">
        <f>G303*1000000000/3.6/$C$296</f>
        <v>817.77073056142819</v>
      </c>
      <c r="H304" s="223">
        <f>SUM(F304:G304)</f>
        <v>3429.0127862391514</v>
      </c>
      <c r="I304" s="202" t="s">
        <v>390</v>
      </c>
      <c r="R304" s="92" t="s">
        <v>368</v>
      </c>
      <c r="U304" s="380"/>
      <c r="V304" s="191"/>
      <c r="W304" s="381"/>
      <c r="X304" s="382"/>
      <c r="Y304" s="381"/>
      <c r="Z304" s="381"/>
    </row>
    <row r="305" spans="1:26" x14ac:dyDescent="0.25">
      <c r="A305" s="92"/>
      <c r="B305" t="s">
        <v>585</v>
      </c>
      <c r="C305" s="202" t="s">
        <v>586</v>
      </c>
      <c r="D305" s="399">
        <f>C300/C296</f>
        <v>2.1568008211152222E-3</v>
      </c>
      <c r="E305" s="223">
        <f>E304*$C$300/1000</f>
        <v>22042.849352079371</v>
      </c>
      <c r="F305" s="223">
        <f>F304*$C$300/1000</f>
        <v>53278.048432862335</v>
      </c>
      <c r="G305" s="223">
        <f>G304*$C$300/1000</f>
        <v>16685.250796683038</v>
      </c>
      <c r="H305" s="223">
        <f>SUM(F305:G305)</f>
        <v>69963.299229545373</v>
      </c>
      <c r="I305" s="202" t="s">
        <v>368</v>
      </c>
      <c r="U305" s="380"/>
      <c r="V305" s="191"/>
      <c r="W305" s="381"/>
      <c r="X305" s="382"/>
      <c r="Y305" s="381"/>
      <c r="Z305" s="381"/>
    </row>
    <row r="306" spans="1:26" x14ac:dyDescent="0.25">
      <c r="A306" s="92"/>
      <c r="C306" s="400" t="s">
        <v>587</v>
      </c>
      <c r="D306" s="399">
        <f>$X$8</f>
        <v>1.079125495719671E-3</v>
      </c>
      <c r="E306" s="223">
        <f>E303/3.6*1000000*$X$8</f>
        <v>11028.835162366584</v>
      </c>
      <c r="F306" s="223">
        <f>F303/3.6*1000000*$X$8</f>
        <v>26656.935523773027</v>
      </c>
      <c r="G306" s="223">
        <f>G303/3.6*1000000*$X$8</f>
        <v>8348.2347377202332</v>
      </c>
      <c r="H306" s="223">
        <f t="shared" ref="H306:H307" si="149">SUM(F306:G306)</f>
        <v>35005.170261493258</v>
      </c>
      <c r="I306" s="202" t="s">
        <v>368</v>
      </c>
      <c r="U306" s="380"/>
      <c r="V306" s="191"/>
      <c r="W306" s="381"/>
      <c r="X306" s="382"/>
      <c r="Y306" s="381"/>
      <c r="Z306" s="381"/>
    </row>
    <row r="307" spans="1:26" x14ac:dyDescent="0.25">
      <c r="A307" s="92"/>
      <c r="C307" s="400" t="s">
        <v>588</v>
      </c>
      <c r="D307" s="399">
        <f>$X$7</f>
        <v>1.6216927580866057E-3</v>
      </c>
      <c r="E307" s="223">
        <f>E303/3.6*1000000*$X$7</f>
        <v>16573.959362356651</v>
      </c>
      <c r="F307" s="223">
        <f>F303/3.6*1000000*$X$7</f>
        <v>40059.621854133424</v>
      </c>
      <c r="G307" s="223">
        <f>G303/3.6*1000000*$X$7</f>
        <v>12545.595364642215</v>
      </c>
      <c r="H307" s="223">
        <f t="shared" si="149"/>
        <v>52605.217218775637</v>
      </c>
      <c r="I307" s="202" t="s">
        <v>368</v>
      </c>
      <c r="U307" s="137"/>
      <c r="V307" s="223"/>
      <c r="W307" s="223"/>
      <c r="X307" s="223"/>
      <c r="Y307" s="223"/>
      <c r="Z307" s="223"/>
    </row>
    <row r="308" spans="1:26" x14ac:dyDescent="0.25">
      <c r="A308" s="92"/>
      <c r="G308" s="185"/>
      <c r="H308" s="185"/>
      <c r="I308" s="185"/>
      <c r="J308" s="185"/>
      <c r="K308" s="92"/>
      <c r="U308" s="137"/>
      <c r="V308" s="223"/>
      <c r="W308" s="223"/>
      <c r="X308" s="223"/>
      <c r="Y308" s="223"/>
      <c r="Z308" s="223"/>
    </row>
    <row r="309" spans="1:26" x14ac:dyDescent="0.25">
      <c r="A309" s="92"/>
      <c r="B309" s="182" t="s">
        <v>589</v>
      </c>
      <c r="F309" s="185"/>
      <c r="G309" s="185"/>
      <c r="H309" s="185"/>
      <c r="I309" s="185"/>
      <c r="J309" s="185"/>
      <c r="K309" s="92"/>
      <c r="U309" s="137"/>
      <c r="V309" s="223"/>
      <c r="W309" s="223"/>
      <c r="X309" s="223"/>
      <c r="Y309" s="223"/>
      <c r="Z309" s="223"/>
    </row>
    <row r="310" spans="1:26" x14ac:dyDescent="0.25">
      <c r="A310" s="92"/>
      <c r="C310" s="92" t="s">
        <v>590</v>
      </c>
      <c r="D310" s="92" t="s">
        <v>195</v>
      </c>
      <c r="G310" s="185"/>
      <c r="H310" s="185"/>
      <c r="I310" s="185"/>
      <c r="J310" s="185"/>
      <c r="K310" s="92"/>
      <c r="U310" s="137"/>
      <c r="V310" s="223"/>
      <c r="W310" s="223"/>
      <c r="X310" s="223"/>
      <c r="Y310" s="223"/>
      <c r="Z310" s="223"/>
    </row>
    <row r="311" spans="1:26" x14ac:dyDescent="0.25">
      <c r="B311" s="401" t="str">
        <f>E302</f>
        <v>Gutschrift EE-GKW</v>
      </c>
      <c r="C311" s="137" t="str">
        <f>C305</f>
        <v>Allokation BürgerInnen Korneuburg</v>
      </c>
      <c r="D311" s="304">
        <f>E305</f>
        <v>22042.849352079371</v>
      </c>
      <c r="E311" s="191" t="s">
        <v>368</v>
      </c>
      <c r="F311" s="185"/>
      <c r="G311" s="185"/>
      <c r="H311" s="185"/>
      <c r="I311" s="185"/>
      <c r="J311" s="185"/>
      <c r="U311" s="137"/>
      <c r="V311" s="223"/>
      <c r="W311" s="223"/>
      <c r="X311" s="223"/>
      <c r="Y311" s="223"/>
      <c r="Z311" s="223"/>
    </row>
    <row r="312" spans="1:26" ht="26.25" x14ac:dyDescent="0.25">
      <c r="B312" s="203" t="str">
        <f>G302</f>
        <v>Produktion PV-Strom für Methanisierung</v>
      </c>
      <c r="C312" s="137" t="str">
        <f>C306</f>
        <v>Allokation bebaute Fläche Korneuburg</v>
      </c>
      <c r="D312" s="304">
        <f>G306</f>
        <v>8348.2347377202332</v>
      </c>
      <c r="E312" s="191" t="s">
        <v>368</v>
      </c>
      <c r="F312" s="185"/>
      <c r="G312" s="316"/>
      <c r="H312" s="316"/>
      <c r="U312" s="137"/>
      <c r="V312" s="223"/>
      <c r="W312" s="223"/>
      <c r="X312" s="223"/>
      <c r="Y312" s="223"/>
      <c r="Z312" s="223"/>
    </row>
    <row r="313" spans="1:26" x14ac:dyDescent="0.25">
      <c r="G313" s="316"/>
      <c r="H313" s="316"/>
      <c r="U313" s="137"/>
      <c r="V313" s="223"/>
      <c r="W313" s="223"/>
      <c r="X313" s="223"/>
      <c r="Y313" s="223"/>
      <c r="Z313" s="223"/>
    </row>
    <row r="314" spans="1:26" x14ac:dyDescent="0.25">
      <c r="C314" s="182" t="s">
        <v>20</v>
      </c>
      <c r="F314" s="316"/>
      <c r="G314" s="316"/>
      <c r="H314" s="316"/>
      <c r="U314" s="386"/>
      <c r="V314" s="387"/>
      <c r="W314" s="387"/>
      <c r="X314" s="387"/>
      <c r="Y314" s="387"/>
      <c r="Z314" s="387"/>
    </row>
    <row r="315" spans="1:26" x14ac:dyDescent="0.25">
      <c r="C315" s="202" t="s">
        <v>591</v>
      </c>
      <c r="D315" s="223">
        <f>[3]Mobilität!B32</f>
        <v>2500</v>
      </c>
      <c r="E315" s="202" t="s">
        <v>592</v>
      </c>
      <c r="F315" s="185"/>
      <c r="G315" s="185"/>
      <c r="H315" s="185"/>
      <c r="U315" s="137"/>
      <c r="V315" s="223"/>
      <c r="W315" s="223"/>
      <c r="X315" s="223"/>
      <c r="Y315" s="223"/>
      <c r="Z315" s="223"/>
    </row>
    <row r="316" spans="1:26" x14ac:dyDescent="0.25">
      <c r="C316" s="202" t="s">
        <v>593</v>
      </c>
      <c r="D316" s="221">
        <v>11</v>
      </c>
      <c r="E316" s="137"/>
      <c r="U316" s="137"/>
      <c r="V316" s="223"/>
      <c r="W316" s="223"/>
      <c r="X316" s="223"/>
      <c r="Y316" s="223"/>
      <c r="Z316" s="223"/>
    </row>
    <row r="317" spans="1:26" x14ac:dyDescent="0.25">
      <c r="C317" s="202" t="s">
        <v>594</v>
      </c>
      <c r="D317" s="221">
        <f>[3]Mobilität!F46</f>
        <v>8305.5</v>
      </c>
      <c r="E317" s="202" t="s">
        <v>592</v>
      </c>
      <c r="G317" s="92"/>
      <c r="U317" s="386"/>
      <c r="V317" s="387"/>
      <c r="W317" s="387"/>
      <c r="X317" s="387"/>
      <c r="Y317" s="387"/>
      <c r="Z317" s="387"/>
    </row>
    <row r="318" spans="1:26" x14ac:dyDescent="0.25">
      <c r="C318" s="202" t="s">
        <v>595</v>
      </c>
      <c r="D318" s="223">
        <f>D317-D315</f>
        <v>5805.5</v>
      </c>
      <c r="E318" s="202" t="s">
        <v>592</v>
      </c>
      <c r="U318" s="386" t="s">
        <v>596</v>
      </c>
      <c r="V318" s="387">
        <v>31466.322609999999</v>
      </c>
      <c r="W318" s="387">
        <v>20958.186750279543</v>
      </c>
      <c r="X318" s="387">
        <v>52424.509360279539</v>
      </c>
      <c r="Y318" s="387">
        <v>65992.396329720446</v>
      </c>
      <c r="Z318" s="387">
        <v>118416.90568999999</v>
      </c>
    </row>
    <row r="319" spans="1:26" x14ac:dyDescent="0.25">
      <c r="C319" s="202" t="s">
        <v>597</v>
      </c>
      <c r="D319" s="229">
        <f>[3]Mobilität!B50</f>
        <v>1.4141278375149344</v>
      </c>
      <c r="E319" s="202" t="s">
        <v>598</v>
      </c>
      <c r="M319" s="314" t="s">
        <v>161</v>
      </c>
      <c r="O319" s="185"/>
      <c r="P319" s="185">
        <f>E281+E270+E262</f>
        <v>285</v>
      </c>
      <c r="U319" s="137" t="s">
        <v>9</v>
      </c>
      <c r="V319" s="139">
        <v>135751.81804655289</v>
      </c>
      <c r="W319" s="139">
        <v>60621.777563848926</v>
      </c>
      <c r="X319" s="139">
        <v>196373.5956104018</v>
      </c>
      <c r="Y319" s="139">
        <v>129125.02758950618</v>
      </c>
      <c r="Z319" s="139">
        <v>325498.62319990795</v>
      </c>
    </row>
    <row r="320" spans="1:26" x14ac:dyDescent="0.25">
      <c r="C320" s="202" t="s">
        <v>599</v>
      </c>
      <c r="D320" s="223">
        <f>D318/D319*[3]Mobilität!B35</f>
        <v>492.64287253141822</v>
      </c>
      <c r="E320" s="202" t="s">
        <v>600</v>
      </c>
      <c r="M320" s="314" t="s">
        <v>475</v>
      </c>
      <c r="P320">
        <f>E279</f>
        <v>89</v>
      </c>
    </row>
    <row r="321" spans="1:20" x14ac:dyDescent="0.25">
      <c r="C321" s="202" t="s">
        <v>601</v>
      </c>
      <c r="D321" s="304">
        <f>D320*C300/1000</f>
        <v>10051.557941847392</v>
      </c>
      <c r="E321" s="202" t="s">
        <v>368</v>
      </c>
      <c r="M321" s="314" t="s">
        <v>477</v>
      </c>
      <c r="P321" s="185">
        <f>E275</f>
        <v>25.000000000000004</v>
      </c>
    </row>
    <row r="322" spans="1:20" x14ac:dyDescent="0.25">
      <c r="M322" s="315" t="s">
        <v>480</v>
      </c>
      <c r="P322" s="185">
        <f>P320+P321</f>
        <v>114</v>
      </c>
    </row>
    <row r="323" spans="1:20" x14ac:dyDescent="0.25">
      <c r="M323" s="314" t="s">
        <v>482</v>
      </c>
      <c r="P323" s="185">
        <f>E282-P320</f>
        <v>215</v>
      </c>
    </row>
    <row r="324" spans="1:20" x14ac:dyDescent="0.25">
      <c r="M324" s="314" t="s">
        <v>484</v>
      </c>
      <c r="P324" s="185">
        <f>E282-P322</f>
        <v>190</v>
      </c>
    </row>
    <row r="326" spans="1:20" x14ac:dyDescent="0.25">
      <c r="A326" s="182" t="s">
        <v>602</v>
      </c>
    </row>
    <row r="327" spans="1:20" x14ac:dyDescent="0.25">
      <c r="B327" t="s">
        <v>603</v>
      </c>
      <c r="C327" t="s">
        <v>604</v>
      </c>
      <c r="K327" t="str">
        <f>[3]Stadtbilanz!D5</f>
        <v>Haushalte</v>
      </c>
      <c r="L327">
        <f>[3]Stadtbilanz!E5</f>
        <v>0</v>
      </c>
      <c r="M327" t="str">
        <f>[3]Stadtbilanz!F5</f>
        <v>Sachgüterindustrie</v>
      </c>
      <c r="N327">
        <f>[3]Stadtbilanz!G5</f>
        <v>0</v>
      </c>
      <c r="O327" t="str">
        <f>[3]Stadtbilanz!H5</f>
        <v>Handel</v>
      </c>
      <c r="P327">
        <f>[3]Stadtbilanz!I5</f>
        <v>0</v>
      </c>
      <c r="Q327" t="str">
        <f>[3]Stadtbilanz!J5</f>
        <v>Infrastruktur</v>
      </c>
      <c r="R327">
        <f>[3]Stadtbilanz!K5</f>
        <v>0</v>
      </c>
      <c r="S327" t="str">
        <f>[3]Stadtbilanz!L5</f>
        <v>Rest</v>
      </c>
      <c r="T327">
        <f>[3]Stadtbilanz!M5</f>
        <v>0</v>
      </c>
    </row>
    <row r="328" spans="1:20" x14ac:dyDescent="0.25">
      <c r="B328" s="182">
        <v>2008</v>
      </c>
      <c r="C328" t="s">
        <v>605</v>
      </c>
      <c r="D328" t="s">
        <v>606</v>
      </c>
      <c r="E328" t="s">
        <v>607</v>
      </c>
      <c r="F328" t="s">
        <v>608</v>
      </c>
      <c r="G328" t="s">
        <v>609</v>
      </c>
      <c r="H328" t="s">
        <v>13</v>
      </c>
      <c r="I328" t="s">
        <v>610</v>
      </c>
      <c r="K328">
        <f>[3]Stadtbilanz!D6/3.6</f>
        <v>0</v>
      </c>
      <c r="L328">
        <f>[3]Stadtbilanz!E6/3.6</f>
        <v>0</v>
      </c>
      <c r="M328">
        <f>[3]Stadtbilanz!F6/3.6</f>
        <v>0</v>
      </c>
      <c r="N328">
        <f>[3]Stadtbilanz!G6/3.6</f>
        <v>0</v>
      </c>
      <c r="O328">
        <f>[3]Stadtbilanz!H6/3.6</f>
        <v>0</v>
      </c>
      <c r="P328">
        <f>[3]Stadtbilanz!I6/3.6</f>
        <v>0</v>
      </c>
      <c r="Q328">
        <f>[3]Stadtbilanz!J6/3.6</f>
        <v>0</v>
      </c>
      <c r="R328">
        <f>[3]Stadtbilanz!K6/3.6</f>
        <v>0</v>
      </c>
      <c r="S328">
        <f>[3]Stadtbilanz!L6/3.6</f>
        <v>0</v>
      </c>
      <c r="T328">
        <f>[3]Stadtbilanz!M6/3.6</f>
        <v>0</v>
      </c>
    </row>
    <row r="329" spans="1:20" x14ac:dyDescent="0.25">
      <c r="B329" s="92" t="s">
        <v>611</v>
      </c>
      <c r="C329" s="185">
        <v>0</v>
      </c>
      <c r="D329" s="185">
        <v>0</v>
      </c>
      <c r="E329" s="185">
        <v>0</v>
      </c>
      <c r="F329" s="185">
        <v>0</v>
      </c>
      <c r="G329" s="185">
        <v>0</v>
      </c>
      <c r="H329" s="185">
        <v>0</v>
      </c>
      <c r="I329" s="185">
        <v>0</v>
      </c>
      <c r="K329">
        <f>[3]Stadtbilanz!D7/3.6</f>
        <v>624.16666666666663</v>
      </c>
      <c r="L329">
        <f>[3]Stadtbilanz!E7/3.6</f>
        <v>0.27777777777777779</v>
      </c>
      <c r="M329">
        <f>[3]Stadtbilanz!F7/3.6</f>
        <v>2.2222222222222223</v>
      </c>
      <c r="N329">
        <f>[3]Stadtbilanz!G7/3.6</f>
        <v>1.4137083053242374E-5</v>
      </c>
      <c r="O329">
        <f>[3]Stadtbilanz!H7/3.6</f>
        <v>4.7222222222222223</v>
      </c>
      <c r="P329">
        <f>[3]Stadtbilanz!I7/3.6</f>
        <v>8.2141317855976306E-5</v>
      </c>
      <c r="Q329">
        <f>[3]Stadtbilanz!J7/3.6</f>
        <v>0</v>
      </c>
      <c r="R329">
        <f>[3]Stadtbilanz!K7/3.6</f>
        <v>0</v>
      </c>
      <c r="S329">
        <f>[3]Stadtbilanz!L7/3.6</f>
        <v>2.2222222222222223</v>
      </c>
      <c r="T329">
        <f>[3]Stadtbilanz!M7/3.6</f>
        <v>2.3179537104644018E-4</v>
      </c>
    </row>
    <row r="330" spans="1:20" x14ac:dyDescent="0.25">
      <c r="B330" s="92" t="s">
        <v>612</v>
      </c>
      <c r="C330" s="185">
        <v>0</v>
      </c>
      <c r="D330" s="185">
        <v>0</v>
      </c>
      <c r="E330" s="185">
        <v>0</v>
      </c>
      <c r="F330" s="185">
        <v>0</v>
      </c>
      <c r="G330" s="185">
        <v>0</v>
      </c>
      <c r="H330" s="185">
        <v>0</v>
      </c>
      <c r="I330" s="185">
        <f>H363</f>
        <v>340</v>
      </c>
      <c r="K330">
        <f>[3]Stadtbilanz!D8/3.6</f>
        <v>146.94444444444443</v>
      </c>
    </row>
    <row r="331" spans="1:20" x14ac:dyDescent="0.25">
      <c r="B331" s="92" t="s">
        <v>613</v>
      </c>
      <c r="C331" s="185">
        <v>17836.684865484913</v>
      </c>
      <c r="D331" s="185">
        <v>3841.7527470595769</v>
      </c>
      <c r="E331" s="185">
        <v>2183.7937569752239</v>
      </c>
      <c r="F331" s="185">
        <v>819.32995674222411</v>
      </c>
      <c r="G331" s="185">
        <v>2560.9342076716553</v>
      </c>
      <c r="H331" s="185">
        <v>27981.548922370617</v>
      </c>
      <c r="I331" s="185">
        <f>H351+H352+H353+H354+H360</f>
        <v>4249.8858682501859</v>
      </c>
      <c r="K331">
        <f>[3]Stadtbilanz!D9/3.6</f>
        <v>146.94444444444443</v>
      </c>
    </row>
    <row r="332" spans="1:20" x14ac:dyDescent="0.25">
      <c r="B332" s="92" t="s">
        <v>614</v>
      </c>
      <c r="C332" s="185">
        <v>79761.515794359555</v>
      </c>
      <c r="D332" s="185">
        <v>9678.8314398091788</v>
      </c>
      <c r="E332" s="185">
        <v>9377.9201541001676</v>
      </c>
      <c r="F332" s="185">
        <v>4787.2101186515229</v>
      </c>
      <c r="G332" s="185">
        <v>10565.589013178698</v>
      </c>
      <c r="H332" s="185">
        <v>113432.01313166211</v>
      </c>
      <c r="I332" s="185">
        <f>H347+H348+H349+H350+H355+H356+H357+H358+H359</f>
        <v>143618.05516063794</v>
      </c>
      <c r="K332">
        <f>[3]Stadtbilanz!D10/3.6</f>
        <v>918.05555555555554</v>
      </c>
    </row>
    <row r="333" spans="1:20" x14ac:dyDescent="0.25">
      <c r="B333" s="92" t="s">
        <v>615</v>
      </c>
      <c r="C333" s="185">
        <v>352.83466662105911</v>
      </c>
      <c r="D333" s="185">
        <v>0</v>
      </c>
      <c r="E333" s="185">
        <v>2.7546772994376036</v>
      </c>
      <c r="F333" s="185">
        <v>2.6066899710429468</v>
      </c>
      <c r="G333" s="185">
        <v>3.1286400371491974</v>
      </c>
      <c r="H333" s="185">
        <v>361.32467392868887</v>
      </c>
      <c r="K333">
        <f>[3]Stadtbilanz!D11/3.6</f>
        <v>4001.1111111111109</v>
      </c>
    </row>
    <row r="334" spans="1:20" x14ac:dyDescent="0.25">
      <c r="B334" s="92" t="s">
        <v>616</v>
      </c>
      <c r="C334" s="185">
        <v>0</v>
      </c>
      <c r="D334" s="185">
        <v>0</v>
      </c>
      <c r="E334" s="185">
        <v>0</v>
      </c>
      <c r="F334" s="185">
        <v>0</v>
      </c>
      <c r="G334" s="185">
        <v>0</v>
      </c>
      <c r="H334" s="185">
        <v>0</v>
      </c>
      <c r="K334">
        <f>[3]Stadtbilanz!D12/3.6</f>
        <v>0</v>
      </c>
    </row>
    <row r="335" spans="1:20" x14ac:dyDescent="0.25">
      <c r="B335" s="92" t="s">
        <v>617</v>
      </c>
      <c r="C335" s="185">
        <v>0</v>
      </c>
      <c r="D335" s="185">
        <v>0</v>
      </c>
      <c r="E335" s="185">
        <v>0</v>
      </c>
      <c r="F335" s="185">
        <v>0</v>
      </c>
      <c r="G335" s="185">
        <v>0</v>
      </c>
      <c r="H335" s="185">
        <v>0</v>
      </c>
      <c r="K335">
        <f>[3]Stadtbilanz!D13/3.6</f>
        <v>43.333333333333336</v>
      </c>
      <c r="P335" s="92" t="s">
        <v>618</v>
      </c>
    </row>
    <row r="336" spans="1:20" x14ac:dyDescent="0.25">
      <c r="B336" s="92" t="s">
        <v>619</v>
      </c>
      <c r="C336" s="185">
        <v>0</v>
      </c>
      <c r="D336" s="185">
        <v>0</v>
      </c>
      <c r="E336" s="185">
        <v>0</v>
      </c>
      <c r="F336" s="185">
        <v>0</v>
      </c>
      <c r="G336" s="185">
        <v>0</v>
      </c>
      <c r="H336" s="185">
        <v>0</v>
      </c>
      <c r="K336">
        <f>[3]Stadtbilanz!D14/3.6</f>
        <v>0</v>
      </c>
      <c r="P336" s="185" t="str">
        <f>[3]Stadtflächen!A22</f>
        <v>EFH_klein</v>
      </c>
      <c r="Q336" s="185">
        <f>[3]Stadtflächen!B22</f>
        <v>151581.92648339999</v>
      </c>
    </row>
    <row r="337" spans="1:26" x14ac:dyDescent="0.25">
      <c r="B337" s="92" t="s">
        <v>620</v>
      </c>
      <c r="C337" s="185">
        <v>0</v>
      </c>
      <c r="D337" s="185">
        <v>212.8970415225875</v>
      </c>
      <c r="E337" s="185">
        <v>460.58689635661921</v>
      </c>
      <c r="F337" s="185">
        <v>0</v>
      </c>
      <c r="G337" s="185">
        <v>0</v>
      </c>
      <c r="H337" s="185">
        <v>673.48393787920668</v>
      </c>
      <c r="K337">
        <f>[3]Stadtbilanz!D15/3.6</f>
        <v>3801.3888888888887</v>
      </c>
      <c r="P337" s="185" t="str">
        <f>[3]Stadtflächen!A23</f>
        <v>EFH_großDoppelhaus</v>
      </c>
      <c r="Q337" s="185">
        <f>[3]Stadtflächen!B23</f>
        <v>339297.43656638899</v>
      </c>
    </row>
    <row r="338" spans="1:26" x14ac:dyDescent="0.25">
      <c r="B338" s="92" t="s">
        <v>621</v>
      </c>
      <c r="C338" s="185">
        <v>0</v>
      </c>
      <c r="D338" s="185">
        <v>0</v>
      </c>
      <c r="E338" s="185">
        <v>0</v>
      </c>
      <c r="F338" s="185">
        <v>0</v>
      </c>
      <c r="G338" s="185">
        <v>0</v>
      </c>
      <c r="H338" s="185">
        <v>0</v>
      </c>
      <c r="K338">
        <f>[3]Stadtbilanz!D16/3.6</f>
        <v>2096.1111111111109</v>
      </c>
      <c r="P338" s="185" t="str">
        <f>[3]Stadtflächen!A24</f>
        <v>MFH</v>
      </c>
      <c r="Q338" s="185">
        <f>[3]Stadtflächen!B24</f>
        <v>261507.25988064997</v>
      </c>
      <c r="R338" s="185">
        <f>Q336+Q337+Q338</f>
        <v>752386.62293043896</v>
      </c>
    </row>
    <row r="339" spans="1:26" x14ac:dyDescent="0.25">
      <c r="B339" s="92" t="s">
        <v>179</v>
      </c>
      <c r="C339" s="185">
        <v>0</v>
      </c>
      <c r="D339" s="185">
        <v>0</v>
      </c>
      <c r="E339" s="185">
        <v>0</v>
      </c>
      <c r="F339" s="185">
        <v>0</v>
      </c>
      <c r="G339" s="185">
        <v>0</v>
      </c>
      <c r="H339" s="185">
        <v>0</v>
      </c>
      <c r="K339">
        <f>[3]Stadtbilanz!D17/3.6</f>
        <v>0</v>
      </c>
      <c r="L339" s="182" t="s">
        <v>622</v>
      </c>
      <c r="P339" s="185" t="str">
        <f>[3]Stadtflächen!A25</f>
        <v>Betrieb</v>
      </c>
      <c r="Q339" s="185">
        <f>[3]Stadtflächen!B25</f>
        <v>145238.5638296796</v>
      </c>
    </row>
    <row r="340" spans="1:26" x14ac:dyDescent="0.25">
      <c r="B340" s="92" t="s">
        <v>623</v>
      </c>
      <c r="C340" s="185">
        <v>0</v>
      </c>
      <c r="D340" s="185">
        <v>0</v>
      </c>
      <c r="E340" s="185">
        <v>0</v>
      </c>
      <c r="F340" s="185">
        <v>0</v>
      </c>
      <c r="G340" s="185">
        <v>0</v>
      </c>
      <c r="H340" s="185">
        <v>0</v>
      </c>
      <c r="K340">
        <f>[3]Stadtbilanz!D18/3.6</f>
        <v>491.66666666666663</v>
      </c>
      <c r="L340" s="185" t="str">
        <f>[3]SimonStadt!N52</f>
        <v>Betriebsgebiet</v>
      </c>
      <c r="M340" s="185">
        <f>[3]SimonStadt!U52</f>
        <v>238361.81</v>
      </c>
      <c r="P340" s="185" t="str">
        <f>[3]Stadtflächen!A26</f>
        <v>Industrie</v>
      </c>
      <c r="Q340" s="185">
        <f>[3]Stadtflächen!B26</f>
        <v>15420.1914196176</v>
      </c>
    </row>
    <row r="341" spans="1:26" x14ac:dyDescent="0.25">
      <c r="B341" s="92" t="s">
        <v>624</v>
      </c>
      <c r="C341" s="185">
        <v>0</v>
      </c>
      <c r="D341" s="185">
        <v>0</v>
      </c>
      <c r="E341" s="185">
        <v>0</v>
      </c>
      <c r="F341" s="185">
        <v>0</v>
      </c>
      <c r="G341" s="185">
        <v>0</v>
      </c>
      <c r="H341" s="185">
        <v>0</v>
      </c>
      <c r="K341">
        <f>[3]Stadtbilanz!D19/3.6</f>
        <v>65007.222222222219</v>
      </c>
      <c r="L341" s="185" t="str">
        <f>[3]SimonStadt!N53</f>
        <v>Industriegebiet</v>
      </c>
      <c r="M341" s="185">
        <f>[3]SimonStadt!U53</f>
        <v>73715</v>
      </c>
      <c r="P341" s="185" t="str">
        <f>[3]Stadtflächen!A27</f>
        <v>Handel</v>
      </c>
      <c r="Q341" s="185">
        <f>[3]Stadtflächen!B27</f>
        <v>67007.138875548801</v>
      </c>
    </row>
    <row r="342" spans="1:26" x14ac:dyDescent="0.25">
      <c r="B342" s="92" t="s">
        <v>625</v>
      </c>
      <c r="C342" s="185">
        <v>0</v>
      </c>
      <c r="D342" s="185">
        <v>0</v>
      </c>
      <c r="E342" s="185">
        <v>0</v>
      </c>
      <c r="F342" s="185">
        <v>0</v>
      </c>
      <c r="G342" s="185">
        <v>0</v>
      </c>
      <c r="H342" s="185">
        <v>0</v>
      </c>
      <c r="K342">
        <f>[3]Stadtbilanz!D20/3.6</f>
        <v>0</v>
      </c>
      <c r="L342" s="185" t="str">
        <f>[3]SimonStadt!N54</f>
        <v>Kerngebiet</v>
      </c>
      <c r="M342" s="185">
        <f>[3]SimonStadt!U54</f>
        <v>473079.04000000004</v>
      </c>
      <c r="N342" s="92" t="s">
        <v>626</v>
      </c>
      <c r="P342" s="185" t="str">
        <f>[3]Stadtflächen!A28</f>
        <v>Büro/Verwaltung</v>
      </c>
      <c r="Q342" s="185">
        <f>[3]Stadtflächen!B28</f>
        <v>109920.77750998901</v>
      </c>
    </row>
    <row r="343" spans="1:26" x14ac:dyDescent="0.25">
      <c r="B343" s="92" t="s">
        <v>627</v>
      </c>
      <c r="C343" s="185">
        <v>28177.058017145129</v>
      </c>
      <c r="D343" s="185">
        <v>3580.698434131989</v>
      </c>
      <c r="E343" s="185">
        <v>4699.1170375668098</v>
      </c>
      <c r="F343" s="185">
        <v>2199.2779034409741</v>
      </c>
      <c r="G343" s="185">
        <v>95852.884367683291</v>
      </c>
      <c r="H343" s="185">
        <v>134509.03575996819</v>
      </c>
      <c r="I343" t="str">
        <f>[3]Stadtbilanz!B21</f>
        <v>Wärmepumpe</v>
      </c>
      <c r="J343" t="str">
        <f>[3]Stadtbilanz!C21</f>
        <v>GJ/a</v>
      </c>
      <c r="K343">
        <f>[3]Stadtbilanz!D21/3.6</f>
        <v>158.61111111111111</v>
      </c>
      <c r="L343" s="185" t="str">
        <f>[3]SimonStadt!N55</f>
        <v>Sondergebiet</v>
      </c>
      <c r="M343" s="185">
        <f>[3]SimonStadt!U55</f>
        <v>59266.200000000004</v>
      </c>
      <c r="P343" s="185" t="str">
        <f>[3]Stadtflächen!A29</f>
        <v>Sonstige (Infrastruktur) eingeschossig</v>
      </c>
      <c r="Q343" s="185">
        <f>[3]Stadtflächen!B29</f>
        <v>12564</v>
      </c>
    </row>
    <row r="344" spans="1:26" x14ac:dyDescent="0.25">
      <c r="C344" s="185">
        <f t="shared" ref="C344:H344" si="150">SUM(C329:C343)</f>
        <v>126128.09334361066</v>
      </c>
      <c r="D344" s="185">
        <f t="shared" si="150"/>
        <v>17314.179662523333</v>
      </c>
      <c r="E344" s="185">
        <f t="shared" si="150"/>
        <v>16724.172522298257</v>
      </c>
      <c r="F344" s="185">
        <f t="shared" si="150"/>
        <v>7808.4246688057638</v>
      </c>
      <c r="G344" s="185">
        <f t="shared" si="150"/>
        <v>108982.5362285708</v>
      </c>
      <c r="H344" s="185">
        <f t="shared" si="150"/>
        <v>276957.40642580879</v>
      </c>
      <c r="K344">
        <f>[3]Stadtbilanz!D22/3.6</f>
        <v>0</v>
      </c>
      <c r="L344" s="185" t="str">
        <f>[3]SimonStadt!N56</f>
        <v>Wohngebiet</v>
      </c>
      <c r="M344" s="185">
        <f>[3]SimonStadt!U56</f>
        <v>839902.89000000013</v>
      </c>
    </row>
    <row r="345" spans="1:26" x14ac:dyDescent="0.25">
      <c r="A345" s="402" t="s">
        <v>628</v>
      </c>
      <c r="J345" s="92" t="s">
        <v>629</v>
      </c>
      <c r="K345" s="92" t="s">
        <v>629</v>
      </c>
      <c r="V345">
        <v>2017</v>
      </c>
      <c r="W345">
        <v>2017</v>
      </c>
    </row>
    <row r="346" spans="1:26" ht="77.25" x14ac:dyDescent="0.25">
      <c r="C346" s="376" t="s">
        <v>605</v>
      </c>
      <c r="D346" s="376" t="s">
        <v>606</v>
      </c>
      <c r="E346" s="376" t="s">
        <v>607</v>
      </c>
      <c r="F346" s="376" t="s">
        <v>608</v>
      </c>
      <c r="G346" s="376" t="s">
        <v>609</v>
      </c>
      <c r="H346" s="376" t="s">
        <v>13</v>
      </c>
      <c r="I346" s="377" t="s">
        <v>630</v>
      </c>
      <c r="J346" s="378" t="s">
        <v>631</v>
      </c>
      <c r="K346" s="379" t="s">
        <v>632</v>
      </c>
      <c r="L346" s="378" t="s">
        <v>163</v>
      </c>
      <c r="M346" s="378" t="s">
        <v>633</v>
      </c>
      <c r="N346" s="378" t="s">
        <v>634</v>
      </c>
      <c r="O346" s="378" t="str">
        <f>D346</f>
        <v>Handel</v>
      </c>
      <c r="P346" s="378" t="str">
        <f>E346</f>
        <v>Büro/Verwaltung</v>
      </c>
      <c r="Q346" s="378" t="str">
        <f>F346</f>
        <v>Infrastruktur</v>
      </c>
      <c r="R346" s="378" t="s">
        <v>635</v>
      </c>
      <c r="S346" s="378" t="s">
        <v>636</v>
      </c>
      <c r="T346" s="378" t="s">
        <v>637</v>
      </c>
      <c r="U346" s="380" t="s">
        <v>638</v>
      </c>
      <c r="V346" s="191" t="str">
        <f t="shared" ref="V346:V370" si="151">L346</f>
        <v>Haushalte</v>
      </c>
      <c r="W346" s="381" t="s">
        <v>164</v>
      </c>
      <c r="X346" s="382" t="s">
        <v>639</v>
      </c>
      <c r="Y346" s="381" t="s">
        <v>640</v>
      </c>
      <c r="Z346" s="381" t="s">
        <v>9</v>
      </c>
    </row>
    <row r="347" spans="1:26" x14ac:dyDescent="0.25">
      <c r="A347" t="s">
        <v>641</v>
      </c>
      <c r="B347" s="92" t="s">
        <v>368</v>
      </c>
      <c r="C347" s="316">
        <v>2640.4912020815291</v>
      </c>
      <c r="D347" s="316">
        <v>5.1509028117185434</v>
      </c>
      <c r="E347" s="316">
        <v>1.2738856157057581</v>
      </c>
      <c r="F347" s="316">
        <v>0.44203750867464109</v>
      </c>
      <c r="G347" s="316">
        <v>1.4462984678465844</v>
      </c>
      <c r="H347" s="316">
        <f t="shared" ref="H347:H369" si="152">SUM(C347:G347)</f>
        <v>2648.8043264854746</v>
      </c>
      <c r="I347" s="316">
        <f>[3]Stadtbilanz!N7/3.6</f>
        <v>633.33333333333337</v>
      </c>
      <c r="J347" s="185">
        <f t="shared" ref="J347:J369" si="153">C347</f>
        <v>2640.4912020815291</v>
      </c>
      <c r="K347" s="185">
        <f t="shared" ref="K347:K369" si="154">W347+Y347</f>
        <v>8.4855372560863529</v>
      </c>
      <c r="L347" s="185">
        <f t="shared" ref="L347:M358" si="155">J347</f>
        <v>2640.4912020815291</v>
      </c>
      <c r="M347" s="185">
        <f t="shared" si="155"/>
        <v>8.4855372560863529</v>
      </c>
      <c r="N347" s="185">
        <f t="shared" ref="N347:N369" si="156">SUM(R347:S347)</f>
        <v>8.4855372560863529</v>
      </c>
      <c r="O347" s="185">
        <f t="shared" ref="O347:O358" si="157">D347</f>
        <v>5.1509028117185434</v>
      </c>
      <c r="P347" s="185">
        <f t="shared" ref="P347:Q358" si="158">F347</f>
        <v>0.44203750867464109</v>
      </c>
      <c r="Q347" s="185">
        <f t="shared" si="158"/>
        <v>1.4462984678465844</v>
      </c>
      <c r="R347" s="185">
        <f t="shared" ref="R347:R369" si="159">SUM(O347:Q347)</f>
        <v>7.0392387882397687</v>
      </c>
      <c r="S347" s="185">
        <f t="shared" ref="S347:S358" si="160">G347</f>
        <v>1.4462984678465844</v>
      </c>
      <c r="T347" s="326">
        <v>1.5</v>
      </c>
      <c r="U347" s="137" t="str">
        <f t="shared" ref="U347:U370" si="161">A347</f>
        <v>Steinkohle</v>
      </c>
      <c r="V347" s="223">
        <f t="shared" si="151"/>
        <v>2640.4912020815291</v>
      </c>
      <c r="W347" s="223">
        <f t="shared" ref="W347:W369" si="162">O347+P347+Q347</f>
        <v>7.0392387882397687</v>
      </c>
      <c r="X347" s="223">
        <f t="shared" ref="X347:X358" si="163">J347+W347</f>
        <v>2647.5304408697689</v>
      </c>
      <c r="Y347" s="223">
        <f t="shared" ref="Y347:Y369" si="164">S347</f>
        <v>1.4462984678465844</v>
      </c>
      <c r="Z347" s="223">
        <f t="shared" ref="Z347:Z369" si="165">SUM(X347:Y347)</f>
        <v>2648.9767393376155</v>
      </c>
    </row>
    <row r="348" spans="1:26" x14ac:dyDescent="0.25">
      <c r="A348" t="s">
        <v>642</v>
      </c>
      <c r="B348" s="92" t="s">
        <v>368</v>
      </c>
      <c r="C348" s="316">
        <v>0</v>
      </c>
      <c r="D348" s="316">
        <v>0</v>
      </c>
      <c r="E348" s="316">
        <v>0</v>
      </c>
      <c r="F348" s="316">
        <v>0</v>
      </c>
      <c r="G348" s="316">
        <v>0</v>
      </c>
      <c r="H348" s="316">
        <f t="shared" si="152"/>
        <v>0</v>
      </c>
      <c r="I348" s="316">
        <f>[3]Stadtbilanz!N8/3.6</f>
        <v>146.94444444444443</v>
      </c>
      <c r="J348" s="185">
        <f t="shared" si="153"/>
        <v>0</v>
      </c>
      <c r="K348" s="185">
        <f t="shared" si="154"/>
        <v>0</v>
      </c>
      <c r="L348" s="185">
        <f t="shared" si="155"/>
        <v>0</v>
      </c>
      <c r="M348" s="185">
        <f t="shared" si="155"/>
        <v>0</v>
      </c>
      <c r="N348" s="185">
        <f t="shared" si="156"/>
        <v>0</v>
      </c>
      <c r="O348" s="185">
        <f t="shared" si="157"/>
        <v>0</v>
      </c>
      <c r="P348" s="185">
        <f t="shared" si="158"/>
        <v>0</v>
      </c>
      <c r="Q348" s="185">
        <f t="shared" si="158"/>
        <v>0</v>
      </c>
      <c r="R348" s="185">
        <f t="shared" si="159"/>
        <v>0</v>
      </c>
      <c r="S348" s="185">
        <f t="shared" si="160"/>
        <v>0</v>
      </c>
      <c r="T348" s="185"/>
      <c r="U348" s="137" t="str">
        <f t="shared" si="161"/>
        <v>Braunkohle</v>
      </c>
      <c r="V348" s="223">
        <f t="shared" si="151"/>
        <v>0</v>
      </c>
      <c r="W348" s="223">
        <f t="shared" si="162"/>
        <v>0</v>
      </c>
      <c r="X348" s="223">
        <f t="shared" si="163"/>
        <v>0</v>
      </c>
      <c r="Y348" s="223">
        <f t="shared" si="164"/>
        <v>0</v>
      </c>
      <c r="Z348" s="223">
        <f t="shared" si="165"/>
        <v>0</v>
      </c>
    </row>
    <row r="349" spans="1:26" x14ac:dyDescent="0.25">
      <c r="A349" t="s">
        <v>643</v>
      </c>
      <c r="B349" s="92" t="s">
        <v>368</v>
      </c>
      <c r="C349" s="316">
        <v>0</v>
      </c>
      <c r="D349" s="316">
        <v>0</v>
      </c>
      <c r="E349" s="316">
        <v>0</v>
      </c>
      <c r="F349" s="316">
        <v>0</v>
      </c>
      <c r="G349" s="316">
        <v>0</v>
      </c>
      <c r="H349" s="316">
        <f t="shared" si="152"/>
        <v>0</v>
      </c>
      <c r="I349" s="316">
        <f>[3]Stadtbilanz!N9/3.6</f>
        <v>146.94444444444443</v>
      </c>
      <c r="J349" s="185">
        <f t="shared" si="153"/>
        <v>0</v>
      </c>
      <c r="K349" s="185">
        <f t="shared" si="154"/>
        <v>0</v>
      </c>
      <c r="L349" s="185">
        <f t="shared" si="155"/>
        <v>0</v>
      </c>
      <c r="M349" s="185">
        <f t="shared" si="155"/>
        <v>0</v>
      </c>
      <c r="N349" s="185">
        <f t="shared" si="156"/>
        <v>0</v>
      </c>
      <c r="O349" s="185">
        <f t="shared" si="157"/>
        <v>0</v>
      </c>
      <c r="P349" s="185">
        <f t="shared" si="158"/>
        <v>0</v>
      </c>
      <c r="Q349" s="185">
        <f t="shared" si="158"/>
        <v>0</v>
      </c>
      <c r="R349" s="185">
        <f t="shared" si="159"/>
        <v>0</v>
      </c>
      <c r="S349" s="185">
        <f t="shared" si="160"/>
        <v>0</v>
      </c>
      <c r="T349" s="185"/>
      <c r="U349" s="137" t="str">
        <f t="shared" si="161"/>
        <v>Braunkohlebrikett</v>
      </c>
      <c r="V349" s="223">
        <f t="shared" si="151"/>
        <v>0</v>
      </c>
      <c r="W349" s="223">
        <f t="shared" si="162"/>
        <v>0</v>
      </c>
      <c r="X349" s="223">
        <f t="shared" si="163"/>
        <v>0</v>
      </c>
      <c r="Y349" s="223">
        <f t="shared" si="164"/>
        <v>0</v>
      </c>
      <c r="Z349" s="223">
        <f t="shared" si="165"/>
        <v>0</v>
      </c>
    </row>
    <row r="350" spans="1:26" x14ac:dyDescent="0.25">
      <c r="A350" t="s">
        <v>644</v>
      </c>
      <c r="B350" s="92" t="s">
        <v>368</v>
      </c>
      <c r="C350" s="316">
        <v>0</v>
      </c>
      <c r="D350" s="316">
        <v>0</v>
      </c>
      <c r="E350" s="316">
        <v>0</v>
      </c>
      <c r="F350" s="316">
        <v>0</v>
      </c>
      <c r="G350" s="316">
        <v>0</v>
      </c>
      <c r="H350" s="316">
        <f t="shared" si="152"/>
        <v>0</v>
      </c>
      <c r="I350" s="316">
        <f>[3]Stadtbilanz!N10/3.6</f>
        <v>923.88888888888891</v>
      </c>
      <c r="J350" s="185">
        <f t="shared" si="153"/>
        <v>0</v>
      </c>
      <c r="K350" s="185">
        <f t="shared" si="154"/>
        <v>0</v>
      </c>
      <c r="L350" s="185">
        <f t="shared" si="155"/>
        <v>0</v>
      </c>
      <c r="M350" s="185">
        <f t="shared" si="155"/>
        <v>0</v>
      </c>
      <c r="N350" s="185">
        <f t="shared" si="156"/>
        <v>0</v>
      </c>
      <c r="O350" s="185">
        <f t="shared" si="157"/>
        <v>0</v>
      </c>
      <c r="P350" s="185">
        <f t="shared" si="158"/>
        <v>0</v>
      </c>
      <c r="Q350" s="185">
        <f t="shared" si="158"/>
        <v>0</v>
      </c>
      <c r="R350" s="185">
        <f t="shared" si="159"/>
        <v>0</v>
      </c>
      <c r="S350" s="185">
        <f t="shared" si="160"/>
        <v>0</v>
      </c>
      <c r="T350" s="185"/>
      <c r="U350" s="137" t="str">
        <f t="shared" si="161"/>
        <v>Koks</v>
      </c>
      <c r="V350" s="223">
        <f t="shared" si="151"/>
        <v>0</v>
      </c>
      <c r="W350" s="223">
        <f t="shared" si="162"/>
        <v>0</v>
      </c>
      <c r="X350" s="223">
        <f t="shared" si="163"/>
        <v>0</v>
      </c>
      <c r="Y350" s="223">
        <f t="shared" si="164"/>
        <v>0</v>
      </c>
      <c r="Z350" s="223">
        <f t="shared" si="165"/>
        <v>0</v>
      </c>
    </row>
    <row r="351" spans="1:26" x14ac:dyDescent="0.25">
      <c r="A351" t="s">
        <v>645</v>
      </c>
      <c r="B351" s="92" t="s">
        <v>368</v>
      </c>
      <c r="C351" s="316">
        <v>2876.976949680964</v>
      </c>
      <c r="D351" s="316">
        <v>23.282080708967818</v>
      </c>
      <c r="E351" s="316">
        <v>12.813790605040269</v>
      </c>
      <c r="F351" s="316">
        <v>4.4463772931390366</v>
      </c>
      <c r="G351" s="316">
        <v>14.548061058927409</v>
      </c>
      <c r="H351" s="316">
        <f t="shared" si="152"/>
        <v>2932.0672593470385</v>
      </c>
      <c r="I351" s="316">
        <f>[3]Stadtbilanz!N11/3.6</f>
        <v>4188.8888888888887</v>
      </c>
      <c r="J351" s="185">
        <f t="shared" si="153"/>
        <v>2876.976949680964</v>
      </c>
      <c r="K351" s="185">
        <f t="shared" si="154"/>
        <v>56.824580119961674</v>
      </c>
      <c r="L351" s="185">
        <f t="shared" si="155"/>
        <v>2876.976949680964</v>
      </c>
      <c r="M351" s="185">
        <f t="shared" si="155"/>
        <v>56.824580119961674</v>
      </c>
      <c r="N351" s="185">
        <f t="shared" si="156"/>
        <v>56.824580119961674</v>
      </c>
      <c r="O351" s="185">
        <f t="shared" si="157"/>
        <v>23.282080708967818</v>
      </c>
      <c r="P351" s="185">
        <f t="shared" si="158"/>
        <v>4.4463772931390366</v>
      </c>
      <c r="Q351" s="185">
        <f t="shared" si="158"/>
        <v>14.548061058927409</v>
      </c>
      <c r="R351" s="185">
        <f t="shared" si="159"/>
        <v>42.276519061034264</v>
      </c>
      <c r="S351" s="185">
        <f t="shared" si="160"/>
        <v>14.548061058927409</v>
      </c>
      <c r="T351" s="185"/>
      <c r="U351" s="137" t="str">
        <f t="shared" si="161"/>
        <v>Brennholz</v>
      </c>
      <c r="V351" s="223">
        <f t="shared" si="151"/>
        <v>2876.976949680964</v>
      </c>
      <c r="W351" s="223">
        <f t="shared" si="162"/>
        <v>42.276519061034264</v>
      </c>
      <c r="X351" s="223">
        <f t="shared" si="163"/>
        <v>2919.2534687419984</v>
      </c>
      <c r="Y351" s="223">
        <f t="shared" si="164"/>
        <v>14.548061058927409</v>
      </c>
      <c r="Z351" s="223">
        <f t="shared" si="165"/>
        <v>2933.8015298009259</v>
      </c>
    </row>
    <row r="352" spans="1:26" x14ac:dyDescent="0.25">
      <c r="A352" s="92" t="s">
        <v>646</v>
      </c>
      <c r="B352" s="92" t="s">
        <v>368</v>
      </c>
      <c r="C352" s="316">
        <v>62.31719024579705</v>
      </c>
      <c r="D352" s="316">
        <v>469.96837254119998</v>
      </c>
      <c r="E352" s="316">
        <v>316.44817383090674</v>
      </c>
      <c r="F352" s="316">
        <v>109.80731759605938</v>
      </c>
      <c r="G352" s="316">
        <v>359.27755468918389</v>
      </c>
      <c r="H352" s="316">
        <f t="shared" si="152"/>
        <v>1317.8186089031472</v>
      </c>
      <c r="I352" s="316">
        <f>[3]Stadtbilanz!N12/3.6</f>
        <v>3197.2222222222222</v>
      </c>
      <c r="J352" s="185">
        <f t="shared" si="153"/>
        <v>62.31719024579705</v>
      </c>
      <c r="K352" s="185">
        <f t="shared" si="154"/>
        <v>1298.3307995156272</v>
      </c>
      <c r="L352" s="185">
        <f t="shared" si="155"/>
        <v>62.31719024579705</v>
      </c>
      <c r="M352" s="185">
        <f t="shared" si="155"/>
        <v>1298.3307995156272</v>
      </c>
      <c r="N352" s="185">
        <f t="shared" si="156"/>
        <v>1298.3307995156272</v>
      </c>
      <c r="O352" s="185">
        <f t="shared" si="157"/>
        <v>469.96837254119998</v>
      </c>
      <c r="P352" s="185">
        <f t="shared" si="158"/>
        <v>109.80731759605938</v>
      </c>
      <c r="Q352" s="185">
        <f t="shared" si="158"/>
        <v>359.27755468918389</v>
      </c>
      <c r="R352" s="185">
        <f t="shared" si="159"/>
        <v>939.05324482644323</v>
      </c>
      <c r="S352" s="185">
        <f t="shared" si="160"/>
        <v>359.27755468918389</v>
      </c>
      <c r="T352" s="185"/>
      <c r="U352" s="137" t="str">
        <f t="shared" si="161"/>
        <v>Hackschnitzel (Pellets und Hackschnitzel)  (inkl. Stromproduktion)</v>
      </c>
      <c r="V352" s="223">
        <f t="shared" si="151"/>
        <v>62.31719024579705</v>
      </c>
      <c r="W352" s="223">
        <f t="shared" si="162"/>
        <v>939.05324482644323</v>
      </c>
      <c r="X352" s="223">
        <f t="shared" si="163"/>
        <v>1001.3704350722403</v>
      </c>
      <c r="Y352" s="223">
        <f t="shared" si="164"/>
        <v>359.27755468918389</v>
      </c>
      <c r="Z352" s="223">
        <f t="shared" si="165"/>
        <v>1360.6479897614242</v>
      </c>
    </row>
    <row r="353" spans="1:66" x14ac:dyDescent="0.25">
      <c r="A353" t="s">
        <v>647</v>
      </c>
      <c r="B353" s="92" t="s">
        <v>368</v>
      </c>
      <c r="C353" s="316">
        <v>0</v>
      </c>
      <c r="D353" s="316">
        <v>0</v>
      </c>
      <c r="E353" s="316">
        <v>0</v>
      </c>
      <c r="F353" s="316">
        <v>0</v>
      </c>
      <c r="G353" s="316">
        <v>0</v>
      </c>
      <c r="H353" s="316">
        <f t="shared" si="152"/>
        <v>0</v>
      </c>
      <c r="I353" s="316">
        <f>[3]Stadtbilanz!N13/3.6</f>
        <v>1826.1111111111111</v>
      </c>
      <c r="J353" s="185">
        <f t="shared" si="153"/>
        <v>0</v>
      </c>
      <c r="K353" s="185">
        <f t="shared" si="154"/>
        <v>0</v>
      </c>
      <c r="L353" s="185">
        <f t="shared" si="155"/>
        <v>0</v>
      </c>
      <c r="M353" s="185">
        <f t="shared" si="155"/>
        <v>0</v>
      </c>
      <c r="N353" s="185">
        <f t="shared" si="156"/>
        <v>0</v>
      </c>
      <c r="O353" s="185">
        <f t="shared" si="157"/>
        <v>0</v>
      </c>
      <c r="P353" s="185">
        <f t="shared" si="158"/>
        <v>0</v>
      </c>
      <c r="Q353" s="185">
        <f t="shared" si="158"/>
        <v>0</v>
      </c>
      <c r="R353" s="185">
        <f t="shared" si="159"/>
        <v>0</v>
      </c>
      <c r="S353" s="185">
        <f t="shared" si="160"/>
        <v>0</v>
      </c>
      <c r="T353" s="185"/>
      <c r="U353" s="137" t="str">
        <f t="shared" si="161"/>
        <v>Brennbare Abfälle</v>
      </c>
      <c r="V353" s="223">
        <f t="shared" si="151"/>
        <v>0</v>
      </c>
      <c r="W353" s="223">
        <f t="shared" si="162"/>
        <v>0</v>
      </c>
      <c r="X353" s="223">
        <f t="shared" si="163"/>
        <v>0</v>
      </c>
      <c r="Y353" s="223">
        <f t="shared" si="164"/>
        <v>0</v>
      </c>
      <c r="Z353" s="223">
        <f t="shared" si="165"/>
        <v>0</v>
      </c>
    </row>
    <row r="354" spans="1:66" x14ac:dyDescent="0.25">
      <c r="A354" t="s">
        <v>648</v>
      </c>
      <c r="B354" s="92" t="s">
        <v>368</v>
      </c>
      <c r="C354" s="316">
        <v>0</v>
      </c>
      <c r="D354" s="316">
        <v>0</v>
      </c>
      <c r="E354" s="316">
        <v>0</v>
      </c>
      <c r="F354" s="316">
        <v>0</v>
      </c>
      <c r="G354" s="316">
        <v>0</v>
      </c>
      <c r="H354" s="316">
        <f t="shared" si="152"/>
        <v>0</v>
      </c>
      <c r="I354" s="316">
        <f>[3]Stadtbilanz!N14/3.6</f>
        <v>35.555555555555557</v>
      </c>
      <c r="J354" s="185">
        <f t="shared" si="153"/>
        <v>0</v>
      </c>
      <c r="K354" s="185">
        <f t="shared" si="154"/>
        <v>0</v>
      </c>
      <c r="L354" s="185">
        <f t="shared" si="155"/>
        <v>0</v>
      </c>
      <c r="M354" s="185">
        <f t="shared" si="155"/>
        <v>0</v>
      </c>
      <c r="N354" s="185">
        <f t="shared" si="156"/>
        <v>0</v>
      </c>
      <c r="O354" s="185">
        <f t="shared" si="157"/>
        <v>0</v>
      </c>
      <c r="P354" s="185">
        <f t="shared" si="158"/>
        <v>0</v>
      </c>
      <c r="Q354" s="185">
        <f t="shared" si="158"/>
        <v>0</v>
      </c>
      <c r="R354" s="185">
        <f t="shared" si="159"/>
        <v>0</v>
      </c>
      <c r="S354" s="185">
        <f t="shared" si="160"/>
        <v>0</v>
      </c>
      <c r="T354" s="185"/>
      <c r="U354" s="137" t="str">
        <f t="shared" si="161"/>
        <v>Sonstige Biomasse</v>
      </c>
      <c r="V354" s="223">
        <f t="shared" si="151"/>
        <v>0</v>
      </c>
      <c r="W354" s="223">
        <f t="shared" si="162"/>
        <v>0</v>
      </c>
      <c r="X354" s="223">
        <f t="shared" si="163"/>
        <v>0</v>
      </c>
      <c r="Y354" s="223">
        <f t="shared" si="164"/>
        <v>0</v>
      </c>
      <c r="Z354" s="223">
        <f t="shared" si="165"/>
        <v>0</v>
      </c>
    </row>
    <row r="355" spans="1:66" x14ac:dyDescent="0.25">
      <c r="A355" t="s">
        <v>649</v>
      </c>
      <c r="B355" s="92" t="s">
        <v>368</v>
      </c>
      <c r="C355" s="316">
        <v>8481.1299109520332</v>
      </c>
      <c r="D355" s="316">
        <v>4958.671118785207</v>
      </c>
      <c r="E355" s="316">
        <v>2072.0873556173892</v>
      </c>
      <c r="F355" s="316">
        <v>740.75520935307009</v>
      </c>
      <c r="G355" s="316">
        <v>2352.5320725231622</v>
      </c>
      <c r="H355" s="316">
        <f t="shared" si="152"/>
        <v>18605.175667230862</v>
      </c>
      <c r="I355" s="316">
        <f>[3]Stadtbilanz!N15/3.6</f>
        <v>6598.6111111111113</v>
      </c>
      <c r="J355" s="185">
        <f t="shared" si="153"/>
        <v>8481.1299109520332</v>
      </c>
      <c r="K355" s="185">
        <f t="shared" si="154"/>
        <v>10404.490473184602</v>
      </c>
      <c r="L355" s="185">
        <f t="shared" si="155"/>
        <v>8481.1299109520332</v>
      </c>
      <c r="M355" s="185">
        <f t="shared" si="155"/>
        <v>10404.490473184602</v>
      </c>
      <c r="N355" s="185">
        <f t="shared" si="156"/>
        <v>10404.490473184602</v>
      </c>
      <c r="O355" s="185">
        <f t="shared" si="157"/>
        <v>4958.671118785207</v>
      </c>
      <c r="P355" s="185">
        <f t="shared" si="158"/>
        <v>740.75520935307009</v>
      </c>
      <c r="Q355" s="185">
        <f t="shared" si="158"/>
        <v>2352.5320725231622</v>
      </c>
      <c r="R355" s="185">
        <f t="shared" si="159"/>
        <v>8051.9584006614396</v>
      </c>
      <c r="S355" s="185">
        <f t="shared" si="160"/>
        <v>2352.5320725231622</v>
      </c>
      <c r="T355" s="185"/>
      <c r="U355" s="137" t="str">
        <f t="shared" si="161"/>
        <v>Heizöl extra leicht  (inkl. Stromproduktion)</v>
      </c>
      <c r="V355" s="223">
        <f t="shared" si="151"/>
        <v>8481.1299109520332</v>
      </c>
      <c r="W355" s="223">
        <f t="shared" si="162"/>
        <v>8051.9584006614396</v>
      </c>
      <c r="X355" s="223">
        <f t="shared" si="163"/>
        <v>16533.088311613472</v>
      </c>
      <c r="Y355" s="223">
        <f t="shared" si="164"/>
        <v>2352.5320725231622</v>
      </c>
      <c r="Z355" s="223">
        <f t="shared" si="165"/>
        <v>18885.620384136633</v>
      </c>
    </row>
    <row r="356" spans="1:66" x14ac:dyDescent="0.25">
      <c r="A356" t="s">
        <v>650</v>
      </c>
      <c r="B356" s="92" t="s">
        <v>368</v>
      </c>
      <c r="C356" s="316">
        <v>0</v>
      </c>
      <c r="D356" s="316">
        <v>0</v>
      </c>
      <c r="E356" s="316">
        <v>0</v>
      </c>
      <c r="F356" s="316">
        <v>0</v>
      </c>
      <c r="G356" s="316">
        <v>0</v>
      </c>
      <c r="H356" s="316">
        <f t="shared" si="152"/>
        <v>0</v>
      </c>
      <c r="I356" s="316">
        <f>[3]Stadtbilanz!N16/3.6</f>
        <v>14835</v>
      </c>
      <c r="J356" s="185">
        <f t="shared" si="153"/>
        <v>0</v>
      </c>
      <c r="K356" s="185">
        <f t="shared" si="154"/>
        <v>0</v>
      </c>
      <c r="L356" s="185">
        <f t="shared" si="155"/>
        <v>0</v>
      </c>
      <c r="M356" s="185">
        <f t="shared" si="155"/>
        <v>0</v>
      </c>
      <c r="N356" s="185">
        <f t="shared" si="156"/>
        <v>0</v>
      </c>
      <c r="O356" s="185">
        <f t="shared" si="157"/>
        <v>0</v>
      </c>
      <c r="P356" s="185">
        <f t="shared" si="158"/>
        <v>0</v>
      </c>
      <c r="Q356" s="185">
        <f t="shared" si="158"/>
        <v>0</v>
      </c>
      <c r="R356" s="185">
        <f t="shared" si="159"/>
        <v>0</v>
      </c>
      <c r="S356" s="185">
        <f t="shared" si="160"/>
        <v>0</v>
      </c>
      <c r="T356" s="185"/>
      <c r="U356" s="137" t="str">
        <f t="shared" si="161"/>
        <v>Heizöl leicht</v>
      </c>
      <c r="V356" s="223">
        <f t="shared" si="151"/>
        <v>0</v>
      </c>
      <c r="W356" s="223">
        <f t="shared" si="162"/>
        <v>0</v>
      </c>
      <c r="X356" s="223">
        <f t="shared" si="163"/>
        <v>0</v>
      </c>
      <c r="Y356" s="223">
        <f t="shared" si="164"/>
        <v>0</v>
      </c>
      <c r="Z356" s="223">
        <f t="shared" si="165"/>
        <v>0</v>
      </c>
    </row>
    <row r="357" spans="1:66" x14ac:dyDescent="0.25">
      <c r="A357" t="s">
        <v>651</v>
      </c>
      <c r="B357" s="92" t="s">
        <v>368</v>
      </c>
      <c r="C357" s="316">
        <v>0</v>
      </c>
      <c r="D357" s="316">
        <v>0</v>
      </c>
      <c r="E357" s="316">
        <v>0</v>
      </c>
      <c r="F357" s="316">
        <v>0</v>
      </c>
      <c r="G357" s="316">
        <v>0</v>
      </c>
      <c r="H357" s="316">
        <f t="shared" si="152"/>
        <v>0</v>
      </c>
      <c r="I357" s="316">
        <f>[3]Stadtbilanz!N17/3.6</f>
        <v>380.27777777777777</v>
      </c>
      <c r="J357" s="185">
        <f t="shared" si="153"/>
        <v>0</v>
      </c>
      <c r="K357" s="185">
        <f t="shared" si="154"/>
        <v>0</v>
      </c>
      <c r="L357" s="185">
        <f t="shared" si="155"/>
        <v>0</v>
      </c>
      <c r="M357" s="185">
        <f t="shared" si="155"/>
        <v>0</v>
      </c>
      <c r="N357" s="185">
        <f t="shared" si="156"/>
        <v>0</v>
      </c>
      <c r="O357" s="185">
        <f t="shared" si="157"/>
        <v>0</v>
      </c>
      <c r="P357" s="185">
        <f t="shared" si="158"/>
        <v>0</v>
      </c>
      <c r="Q357" s="185">
        <f t="shared" si="158"/>
        <v>0</v>
      </c>
      <c r="R357" s="185">
        <f t="shared" si="159"/>
        <v>0</v>
      </c>
      <c r="S357" s="185">
        <f t="shared" si="160"/>
        <v>0</v>
      </c>
      <c r="T357" s="185"/>
      <c r="U357" s="137" t="str">
        <f t="shared" si="161"/>
        <v>Heizöl schwer</v>
      </c>
      <c r="V357" s="223">
        <f t="shared" si="151"/>
        <v>0</v>
      </c>
      <c r="W357" s="223">
        <f t="shared" si="162"/>
        <v>0</v>
      </c>
      <c r="X357" s="223">
        <f t="shared" si="163"/>
        <v>0</v>
      </c>
      <c r="Y357" s="223">
        <f t="shared" si="164"/>
        <v>0</v>
      </c>
      <c r="Z357" s="223">
        <f t="shared" si="165"/>
        <v>0</v>
      </c>
    </row>
    <row r="358" spans="1:66" x14ac:dyDescent="0.25">
      <c r="A358" t="s">
        <v>652</v>
      </c>
      <c r="B358" s="92" t="s">
        <v>368</v>
      </c>
      <c r="C358" s="316">
        <v>0</v>
      </c>
      <c r="D358" s="316">
        <v>0</v>
      </c>
      <c r="E358" s="316">
        <v>0</v>
      </c>
      <c r="F358" s="316">
        <v>0</v>
      </c>
      <c r="G358" s="316">
        <v>0</v>
      </c>
      <c r="H358" s="316">
        <f t="shared" si="152"/>
        <v>0</v>
      </c>
      <c r="I358" s="316">
        <f>[3]Stadtbilanz!N18/3.6</f>
        <v>665.55555555555554</v>
      </c>
      <c r="J358" s="185">
        <f t="shared" si="153"/>
        <v>0</v>
      </c>
      <c r="K358" s="185">
        <f t="shared" si="154"/>
        <v>0</v>
      </c>
      <c r="L358" s="185">
        <f t="shared" si="155"/>
        <v>0</v>
      </c>
      <c r="M358" s="185">
        <f t="shared" si="155"/>
        <v>0</v>
      </c>
      <c r="N358" s="185">
        <f t="shared" si="156"/>
        <v>0</v>
      </c>
      <c r="O358" s="185">
        <f t="shared" si="157"/>
        <v>0</v>
      </c>
      <c r="P358" s="185">
        <f t="shared" si="158"/>
        <v>0</v>
      </c>
      <c r="Q358" s="185">
        <f t="shared" si="158"/>
        <v>0</v>
      </c>
      <c r="R358" s="185">
        <f t="shared" si="159"/>
        <v>0</v>
      </c>
      <c r="S358" s="185">
        <f t="shared" si="160"/>
        <v>0</v>
      </c>
      <c r="T358" s="185"/>
      <c r="U358" s="137" t="str">
        <f t="shared" si="161"/>
        <v>Flüssiggas</v>
      </c>
      <c r="V358" s="223">
        <f t="shared" si="151"/>
        <v>0</v>
      </c>
      <c r="W358" s="223">
        <f t="shared" si="162"/>
        <v>0</v>
      </c>
      <c r="X358" s="223">
        <f t="shared" si="163"/>
        <v>0</v>
      </c>
      <c r="Y358" s="223">
        <f t="shared" si="164"/>
        <v>0</v>
      </c>
      <c r="Z358" s="223">
        <f t="shared" si="165"/>
        <v>0</v>
      </c>
    </row>
    <row r="359" spans="1:66" x14ac:dyDescent="0.25">
      <c r="A359" s="388" t="s">
        <v>653</v>
      </c>
      <c r="B359" s="403" t="s">
        <v>368</v>
      </c>
      <c r="C359" s="384">
        <v>93486.171567069876</v>
      </c>
      <c r="D359" s="384">
        <v>4878.5230710348669</v>
      </c>
      <c r="E359" s="384">
        <v>8885.2023006516938</v>
      </c>
      <c r="F359" s="384">
        <v>5026.4165676961493</v>
      </c>
      <c r="G359" s="384">
        <v>10087.761660469003</v>
      </c>
      <c r="H359" s="384">
        <f t="shared" si="152"/>
        <v>122364.0751669216</v>
      </c>
      <c r="I359" s="384">
        <f>[3]Stadtbilanz!N19/3.6</f>
        <v>121188.88888888889</v>
      </c>
      <c r="J359" s="385">
        <f t="shared" si="153"/>
        <v>93486.171567069876</v>
      </c>
      <c r="K359" s="385">
        <f t="shared" si="154"/>
        <v>84178.389180000013</v>
      </c>
      <c r="L359" s="385">
        <f>[3]KO_EE!C106</f>
        <v>74343.146229999998</v>
      </c>
      <c r="M359" s="385">
        <f>[3]KO_EE!D106</f>
        <v>84178.389180000013</v>
      </c>
      <c r="N359" s="385">
        <f t="shared" si="156"/>
        <v>84178.389180000013</v>
      </c>
      <c r="O359" s="326">
        <f>D359*$T359</f>
        <v>7317.7846065523008</v>
      </c>
      <c r="P359" s="326">
        <f>E359*$T359</f>
        <v>13327.803450977541</v>
      </c>
      <c r="Q359" s="326">
        <f>F359*$T359</f>
        <v>7539.6248515442239</v>
      </c>
      <c r="R359" s="326">
        <f t="shared" si="159"/>
        <v>28185.212909074067</v>
      </c>
      <c r="S359" s="326">
        <f>M359-R359</f>
        <v>55993.176270925949</v>
      </c>
      <c r="T359" s="326">
        <v>1.5</v>
      </c>
      <c r="U359" s="386" t="str">
        <f t="shared" si="161"/>
        <v>Erdgas (inkl. Stromproduktion)</v>
      </c>
      <c r="V359" s="387">
        <f t="shared" si="151"/>
        <v>74343.146229999998</v>
      </c>
      <c r="W359" s="387">
        <f t="shared" si="162"/>
        <v>28185.212909074067</v>
      </c>
      <c r="X359" s="387">
        <f>L359+W359</f>
        <v>102528.35913907406</v>
      </c>
      <c r="Y359" s="387">
        <f t="shared" si="164"/>
        <v>55993.176270925949</v>
      </c>
      <c r="Z359" s="387">
        <f t="shared" si="165"/>
        <v>158521.53541000001</v>
      </c>
      <c r="AA359" s="388"/>
      <c r="AB359" s="388"/>
      <c r="AC359" s="388"/>
      <c r="AD359" s="388"/>
      <c r="AE359" s="388"/>
      <c r="AF359" s="388"/>
      <c r="AG359" s="388"/>
      <c r="AH359" s="388"/>
      <c r="AI359" s="388"/>
      <c r="AJ359" s="388"/>
      <c r="AK359" s="388"/>
      <c r="AL359" s="388"/>
      <c r="AM359" s="388"/>
      <c r="AN359" s="388"/>
      <c r="AO359" s="388"/>
      <c r="AP359" s="388"/>
      <c r="AQ359" s="388"/>
      <c r="AR359" s="388"/>
      <c r="AS359" s="388"/>
      <c r="AT359" s="388"/>
      <c r="AU359" s="388"/>
      <c r="AV359" s="388"/>
      <c r="AW359" s="388"/>
      <c r="AX359" s="388"/>
      <c r="AY359" s="388"/>
      <c r="AZ359" s="388"/>
      <c r="BA359" s="388"/>
      <c r="BB359" s="388"/>
      <c r="BC359" s="388"/>
      <c r="BD359" s="388"/>
      <c r="BE359" s="388"/>
      <c r="BF359" s="388"/>
      <c r="BG359" s="388"/>
      <c r="BH359" s="388"/>
      <c r="BI359" s="388"/>
      <c r="BJ359" s="388"/>
      <c r="BK359" s="388"/>
      <c r="BL359" s="388"/>
      <c r="BM359" s="388"/>
      <c r="BN359" s="388"/>
    </row>
    <row r="360" spans="1:66" x14ac:dyDescent="0.25">
      <c r="A360" t="s">
        <v>654</v>
      </c>
      <c r="B360" s="92" t="s">
        <v>368</v>
      </c>
      <c r="C360" s="316">
        <v>0</v>
      </c>
      <c r="D360" s="316">
        <v>0</v>
      </c>
      <c r="E360" s="316">
        <v>0</v>
      </c>
      <c r="F360" s="316">
        <v>0</v>
      </c>
      <c r="G360" s="316">
        <v>0</v>
      </c>
      <c r="H360" s="316">
        <f t="shared" si="152"/>
        <v>0</v>
      </c>
      <c r="I360" s="316">
        <f>[3]Stadtbilanz!N20/3.6</f>
        <v>74.444444444444443</v>
      </c>
      <c r="J360" s="185">
        <f t="shared" si="153"/>
        <v>0</v>
      </c>
      <c r="K360" s="185">
        <f t="shared" si="154"/>
        <v>0</v>
      </c>
      <c r="L360" s="185">
        <f t="shared" ref="L360:M366" si="166">J360</f>
        <v>0</v>
      </c>
      <c r="M360" s="185">
        <f t="shared" si="166"/>
        <v>0</v>
      </c>
      <c r="N360" s="185">
        <f t="shared" si="156"/>
        <v>0</v>
      </c>
      <c r="O360" s="185">
        <f t="shared" ref="O360:O366" si="167">D360</f>
        <v>0</v>
      </c>
      <c r="P360" s="185">
        <f t="shared" ref="P360:Q366" si="168">F360</f>
        <v>0</v>
      </c>
      <c r="Q360" s="185">
        <f t="shared" si="168"/>
        <v>0</v>
      </c>
      <c r="R360" s="185">
        <f t="shared" si="159"/>
        <v>0</v>
      </c>
      <c r="S360" s="185">
        <f t="shared" ref="S360:S366" si="169">G360</f>
        <v>0</v>
      </c>
      <c r="T360" s="185"/>
      <c r="U360" s="137" t="str">
        <f t="shared" si="161"/>
        <v>Biogas</v>
      </c>
      <c r="V360" s="223">
        <f t="shared" si="151"/>
        <v>0</v>
      </c>
      <c r="W360" s="223">
        <f t="shared" si="162"/>
        <v>0</v>
      </c>
      <c r="X360" s="223">
        <f t="shared" ref="X360:X366" si="170">J360+W360</f>
        <v>0</v>
      </c>
      <c r="Y360" s="223">
        <f t="shared" si="164"/>
        <v>0</v>
      </c>
      <c r="Z360" s="223">
        <f t="shared" si="165"/>
        <v>0</v>
      </c>
    </row>
    <row r="361" spans="1:66" x14ac:dyDescent="0.25">
      <c r="A361" t="s">
        <v>198</v>
      </c>
      <c r="B361" s="92" t="s">
        <v>368</v>
      </c>
      <c r="C361" s="316">
        <v>194.64268378994939</v>
      </c>
      <c r="D361" s="316">
        <v>212.89704152258744</v>
      </c>
      <c r="E361" s="316">
        <v>462.12155385130467</v>
      </c>
      <c r="F361" s="316">
        <v>1.4557252125476867</v>
      </c>
      <c r="G361" s="316">
        <v>1.7423642718528263</v>
      </c>
      <c r="H361" s="316">
        <f t="shared" si="152"/>
        <v>872.85936864824203</v>
      </c>
      <c r="I361" s="316">
        <f>[3]Stadtbilanz!N21/3.6</f>
        <v>173.88888888888889</v>
      </c>
      <c r="J361" s="185">
        <f t="shared" si="153"/>
        <v>194.64268378994939</v>
      </c>
      <c r="K361" s="185">
        <f t="shared" si="154"/>
        <v>217.83749527884081</v>
      </c>
      <c r="L361" s="185">
        <f t="shared" si="166"/>
        <v>194.64268378994939</v>
      </c>
      <c r="M361" s="185">
        <f t="shared" si="166"/>
        <v>217.83749527884081</v>
      </c>
      <c r="N361" s="185">
        <f t="shared" si="156"/>
        <v>217.83749527884081</v>
      </c>
      <c r="O361" s="185">
        <f t="shared" si="167"/>
        <v>212.89704152258744</v>
      </c>
      <c r="P361" s="185">
        <f t="shared" si="168"/>
        <v>1.4557252125476867</v>
      </c>
      <c r="Q361" s="185">
        <f t="shared" si="168"/>
        <v>1.7423642718528263</v>
      </c>
      <c r="R361" s="185">
        <f t="shared" si="159"/>
        <v>216.09513100698797</v>
      </c>
      <c r="S361" s="185">
        <f t="shared" si="169"/>
        <v>1.7423642718528263</v>
      </c>
      <c r="T361" s="185"/>
      <c r="U361" s="137" t="str">
        <f t="shared" si="161"/>
        <v>Wärmepumpe</v>
      </c>
      <c r="V361" s="223">
        <f t="shared" si="151"/>
        <v>194.64268378994939</v>
      </c>
      <c r="W361" s="223">
        <f t="shared" si="162"/>
        <v>216.09513100698797</v>
      </c>
      <c r="X361" s="223">
        <f t="shared" si="170"/>
        <v>410.73781479693736</v>
      </c>
      <c r="Y361" s="223">
        <f t="shared" si="164"/>
        <v>1.7423642718528263</v>
      </c>
      <c r="Z361" s="223">
        <f t="shared" si="165"/>
        <v>412.48017906879016</v>
      </c>
    </row>
    <row r="362" spans="1:66" x14ac:dyDescent="0.25">
      <c r="A362" t="s">
        <v>655</v>
      </c>
      <c r="B362" s="92" t="s">
        <v>368</v>
      </c>
      <c r="C362" s="316">
        <v>0</v>
      </c>
      <c r="D362" s="316">
        <v>0</v>
      </c>
      <c r="E362" s="316">
        <v>0</v>
      </c>
      <c r="F362" s="316">
        <v>0</v>
      </c>
      <c r="G362" s="316">
        <v>0</v>
      </c>
      <c r="H362" s="316">
        <f t="shared" si="152"/>
        <v>0</v>
      </c>
      <c r="I362" s="316">
        <f>[3]Stadtbilanz!N22/3.6</f>
        <v>0</v>
      </c>
      <c r="J362" s="185">
        <f t="shared" si="153"/>
        <v>0</v>
      </c>
      <c r="K362" s="185">
        <f t="shared" si="154"/>
        <v>0</v>
      </c>
      <c r="L362" s="185">
        <f t="shared" si="166"/>
        <v>0</v>
      </c>
      <c r="M362" s="185">
        <f t="shared" si="166"/>
        <v>0</v>
      </c>
      <c r="N362" s="185">
        <f t="shared" si="156"/>
        <v>0</v>
      </c>
      <c r="O362" s="185">
        <f t="shared" si="167"/>
        <v>0</v>
      </c>
      <c r="P362" s="185">
        <f t="shared" si="168"/>
        <v>0</v>
      </c>
      <c r="Q362" s="185">
        <f t="shared" si="168"/>
        <v>0</v>
      </c>
      <c r="R362" s="185">
        <f t="shared" si="159"/>
        <v>0</v>
      </c>
      <c r="S362" s="185">
        <f t="shared" si="169"/>
        <v>0</v>
      </c>
      <c r="T362" s="185"/>
      <c r="U362" s="137" t="str">
        <f t="shared" si="161"/>
        <v>Geothermie</v>
      </c>
      <c r="V362" s="223">
        <f t="shared" si="151"/>
        <v>0</v>
      </c>
      <c r="W362" s="223">
        <f t="shared" si="162"/>
        <v>0</v>
      </c>
      <c r="X362" s="223">
        <f t="shared" si="170"/>
        <v>0</v>
      </c>
      <c r="Y362" s="223">
        <f t="shared" si="164"/>
        <v>0</v>
      </c>
      <c r="Z362" s="223">
        <f t="shared" si="165"/>
        <v>0</v>
      </c>
    </row>
    <row r="363" spans="1:66" x14ac:dyDescent="0.25">
      <c r="A363" t="s">
        <v>656</v>
      </c>
      <c r="B363" s="92" t="s">
        <v>368</v>
      </c>
      <c r="C363" s="404">
        <f>I363</f>
        <v>340</v>
      </c>
      <c r="D363" s="316">
        <v>0</v>
      </c>
      <c r="E363" s="316">
        <v>0</v>
      </c>
      <c r="F363" s="316">
        <v>0</v>
      </c>
      <c r="G363" s="316">
        <v>0</v>
      </c>
      <c r="H363" s="316">
        <f t="shared" si="152"/>
        <v>340</v>
      </c>
      <c r="I363" s="316">
        <f>[3]Stadtbilanz!N23/3.6</f>
        <v>340</v>
      </c>
      <c r="J363" s="185">
        <f t="shared" si="153"/>
        <v>340</v>
      </c>
      <c r="K363" s="185">
        <f t="shared" si="154"/>
        <v>0</v>
      </c>
      <c r="L363" s="185">
        <f t="shared" si="166"/>
        <v>340</v>
      </c>
      <c r="M363" s="185">
        <f t="shared" si="166"/>
        <v>0</v>
      </c>
      <c r="N363" s="185">
        <f t="shared" si="156"/>
        <v>0</v>
      </c>
      <c r="O363" s="185">
        <f t="shared" si="167"/>
        <v>0</v>
      </c>
      <c r="P363" s="185">
        <f t="shared" si="168"/>
        <v>0</v>
      </c>
      <c r="Q363" s="185">
        <f t="shared" si="168"/>
        <v>0</v>
      </c>
      <c r="R363" s="185">
        <f t="shared" si="159"/>
        <v>0</v>
      </c>
      <c r="S363" s="185">
        <f t="shared" si="169"/>
        <v>0</v>
      </c>
      <c r="T363" s="185"/>
      <c r="U363" s="137" t="str">
        <f t="shared" si="161"/>
        <v>Solarkollektoren</v>
      </c>
      <c r="V363" s="223">
        <f t="shared" si="151"/>
        <v>340</v>
      </c>
      <c r="W363" s="223">
        <f t="shared" si="162"/>
        <v>0</v>
      </c>
      <c r="X363" s="223">
        <f t="shared" si="170"/>
        <v>340</v>
      </c>
      <c r="Y363" s="223">
        <f t="shared" si="164"/>
        <v>0</v>
      </c>
      <c r="Z363" s="223">
        <f t="shared" si="165"/>
        <v>340</v>
      </c>
    </row>
    <row r="364" spans="1:66" x14ac:dyDescent="0.25">
      <c r="A364" t="s">
        <v>1</v>
      </c>
      <c r="B364" s="92" t="s">
        <v>368</v>
      </c>
      <c r="C364" s="316">
        <v>0</v>
      </c>
      <c r="D364" s="316">
        <v>0</v>
      </c>
      <c r="E364" s="316">
        <v>0</v>
      </c>
      <c r="F364" s="316">
        <v>0</v>
      </c>
      <c r="G364" s="316">
        <v>0</v>
      </c>
      <c r="H364" s="316">
        <f t="shared" si="152"/>
        <v>0</v>
      </c>
      <c r="I364" s="316">
        <f>[3]Stadtbilanz!N24/3.6</f>
        <v>0</v>
      </c>
      <c r="J364" s="185">
        <f t="shared" si="153"/>
        <v>0</v>
      </c>
      <c r="K364" s="185">
        <f t="shared" si="154"/>
        <v>0</v>
      </c>
      <c r="L364" s="185">
        <f t="shared" si="166"/>
        <v>0</v>
      </c>
      <c r="M364" s="185">
        <f t="shared" si="166"/>
        <v>0</v>
      </c>
      <c r="N364" s="185">
        <f t="shared" si="156"/>
        <v>0</v>
      </c>
      <c r="O364" s="185">
        <f t="shared" si="167"/>
        <v>0</v>
      </c>
      <c r="P364" s="185">
        <f t="shared" si="168"/>
        <v>0</v>
      </c>
      <c r="Q364" s="185">
        <f t="shared" si="168"/>
        <v>0</v>
      </c>
      <c r="R364" s="185">
        <f t="shared" si="159"/>
        <v>0</v>
      </c>
      <c r="S364" s="185">
        <f t="shared" si="169"/>
        <v>0</v>
      </c>
      <c r="T364" s="185"/>
      <c r="U364" s="137" t="str">
        <f t="shared" si="161"/>
        <v>Photovoltaik</v>
      </c>
      <c r="V364" s="223">
        <f t="shared" si="151"/>
        <v>0</v>
      </c>
      <c r="W364" s="223">
        <f t="shared" si="162"/>
        <v>0</v>
      </c>
      <c r="X364" s="223">
        <f t="shared" si="170"/>
        <v>0</v>
      </c>
      <c r="Y364" s="223">
        <f t="shared" si="164"/>
        <v>0</v>
      </c>
      <c r="Z364" s="223">
        <f t="shared" si="165"/>
        <v>0</v>
      </c>
    </row>
    <row r="365" spans="1:66" x14ac:dyDescent="0.25">
      <c r="A365" t="s">
        <v>138</v>
      </c>
      <c r="B365" s="92" t="s">
        <v>368</v>
      </c>
      <c r="C365" s="316">
        <v>0</v>
      </c>
      <c r="D365" s="316">
        <v>0</v>
      </c>
      <c r="E365" s="316">
        <v>0</v>
      </c>
      <c r="F365" s="316">
        <v>0</v>
      </c>
      <c r="G365" s="316">
        <v>0</v>
      </c>
      <c r="H365" s="316">
        <f t="shared" si="152"/>
        <v>0</v>
      </c>
      <c r="I365" s="316">
        <f>[3]Stadtbilanz!N25/3.6</f>
        <v>1.9444444444444444</v>
      </c>
      <c r="J365" s="185">
        <f t="shared" si="153"/>
        <v>0</v>
      </c>
      <c r="K365" s="185">
        <f t="shared" si="154"/>
        <v>0</v>
      </c>
      <c r="L365" s="185">
        <f t="shared" si="166"/>
        <v>0</v>
      </c>
      <c r="M365" s="185">
        <f t="shared" si="166"/>
        <v>0</v>
      </c>
      <c r="N365" s="185">
        <f t="shared" si="156"/>
        <v>0</v>
      </c>
      <c r="O365" s="185">
        <f t="shared" si="167"/>
        <v>0</v>
      </c>
      <c r="P365" s="185">
        <f t="shared" si="168"/>
        <v>0</v>
      </c>
      <c r="Q365" s="185">
        <f t="shared" si="168"/>
        <v>0</v>
      </c>
      <c r="R365" s="185">
        <f t="shared" si="159"/>
        <v>0</v>
      </c>
      <c r="S365" s="185">
        <f t="shared" si="169"/>
        <v>0</v>
      </c>
      <c r="T365" s="185"/>
      <c r="U365" s="137" t="str">
        <f t="shared" si="161"/>
        <v>Windkraft</v>
      </c>
      <c r="V365" s="223">
        <f t="shared" si="151"/>
        <v>0</v>
      </c>
      <c r="W365" s="223">
        <f t="shared" si="162"/>
        <v>0</v>
      </c>
      <c r="X365" s="223">
        <f t="shared" si="170"/>
        <v>0</v>
      </c>
      <c r="Y365" s="223">
        <f t="shared" si="164"/>
        <v>0</v>
      </c>
      <c r="Z365" s="223">
        <f t="shared" si="165"/>
        <v>0</v>
      </c>
    </row>
    <row r="366" spans="1:66" x14ac:dyDescent="0.25">
      <c r="A366" t="s">
        <v>0</v>
      </c>
      <c r="B366" s="92" t="s">
        <v>368</v>
      </c>
      <c r="C366" s="316">
        <v>0</v>
      </c>
      <c r="D366" s="316">
        <v>0</v>
      </c>
      <c r="E366" s="316">
        <v>0</v>
      </c>
      <c r="F366" s="316">
        <v>0</v>
      </c>
      <c r="G366" s="316">
        <v>0</v>
      </c>
      <c r="H366" s="316">
        <f t="shared" si="152"/>
        <v>0</v>
      </c>
      <c r="I366" s="316">
        <f>[3]Stadtbilanz!N26/3.6</f>
        <v>0.27777777777777779</v>
      </c>
      <c r="J366" s="185">
        <f t="shared" si="153"/>
        <v>0</v>
      </c>
      <c r="K366" s="185">
        <f t="shared" si="154"/>
        <v>0</v>
      </c>
      <c r="L366" s="185">
        <f t="shared" si="166"/>
        <v>0</v>
      </c>
      <c r="M366" s="185">
        <f t="shared" si="166"/>
        <v>0</v>
      </c>
      <c r="N366" s="185">
        <f t="shared" si="156"/>
        <v>0</v>
      </c>
      <c r="O366" s="185">
        <f t="shared" si="167"/>
        <v>0</v>
      </c>
      <c r="P366" s="185">
        <f t="shared" si="168"/>
        <v>0</v>
      </c>
      <c r="Q366" s="185">
        <f t="shared" si="168"/>
        <v>0</v>
      </c>
      <c r="R366" s="185">
        <f t="shared" si="159"/>
        <v>0</v>
      </c>
      <c r="S366" s="185">
        <f t="shared" si="169"/>
        <v>0</v>
      </c>
      <c r="T366" s="185"/>
      <c r="U366" s="137" t="str">
        <f t="shared" si="161"/>
        <v>Wasserkraft</v>
      </c>
      <c r="V366" s="223">
        <f t="shared" si="151"/>
        <v>0</v>
      </c>
      <c r="W366" s="223">
        <f t="shared" si="162"/>
        <v>0</v>
      </c>
      <c r="X366" s="223">
        <f t="shared" si="170"/>
        <v>0</v>
      </c>
      <c r="Y366" s="223">
        <f t="shared" si="164"/>
        <v>0</v>
      </c>
      <c r="Z366" s="223">
        <f t="shared" si="165"/>
        <v>0</v>
      </c>
    </row>
    <row r="367" spans="1:66" x14ac:dyDescent="0.25">
      <c r="A367" s="388" t="s">
        <v>334</v>
      </c>
      <c r="B367" s="403" t="s">
        <v>368</v>
      </c>
      <c r="C367" s="384">
        <v>4566.7315313458466</v>
      </c>
      <c r="D367" s="384">
        <v>130.832931417651</v>
      </c>
      <c r="E367" s="384">
        <v>55.001884819295654</v>
      </c>
      <c r="F367" s="384">
        <v>36.360720778171057</v>
      </c>
      <c r="G367" s="384">
        <v>62.446063258787831</v>
      </c>
      <c r="H367" s="384">
        <f t="shared" si="152"/>
        <v>4851.3731316197518</v>
      </c>
      <c r="I367" s="384">
        <f>[3]Stadtbilanz!N27/3.6</f>
        <v>3706.1111111111109</v>
      </c>
      <c r="J367" s="385">
        <f t="shared" si="153"/>
        <v>4566.7315313458466</v>
      </c>
      <c r="K367" s="385">
        <f t="shared" si="154"/>
        <v>6631.8640080000005</v>
      </c>
      <c r="L367" s="385">
        <f>[3]KO_EE!E106</f>
        <v>5346.7912698026139</v>
      </c>
      <c r="M367" s="385">
        <f>[3]KO_EE!F106</f>
        <v>6631.8640080000005</v>
      </c>
      <c r="N367" s="385">
        <f t="shared" si="156"/>
        <v>6631.8640080000005</v>
      </c>
      <c r="O367" s="326">
        <f>D367*$T367</f>
        <v>1308.32931417651</v>
      </c>
      <c r="P367" s="326">
        <f>E367*$T367</f>
        <v>550.01884819295651</v>
      </c>
      <c r="Q367" s="326">
        <f>F367*$T367</f>
        <v>363.6072077817106</v>
      </c>
      <c r="R367" s="326">
        <f t="shared" si="159"/>
        <v>2221.9553701511772</v>
      </c>
      <c r="S367" s="326">
        <f>M367-R367</f>
        <v>4409.9086378488228</v>
      </c>
      <c r="T367" s="385">
        <v>10</v>
      </c>
      <c r="U367" s="386" t="str">
        <f t="shared" si="161"/>
        <v>Fernwärme</v>
      </c>
      <c r="V367" s="387">
        <f t="shared" si="151"/>
        <v>5346.7912698026139</v>
      </c>
      <c r="W367" s="387">
        <f t="shared" si="162"/>
        <v>2221.9553701511772</v>
      </c>
      <c r="X367" s="387">
        <f>L367+W367</f>
        <v>7568.7466399537916</v>
      </c>
      <c r="Y367" s="387">
        <f t="shared" si="164"/>
        <v>4409.9086378488228</v>
      </c>
      <c r="Z367" s="387">
        <f t="shared" si="165"/>
        <v>11978.655277802614</v>
      </c>
      <c r="AA367" s="388"/>
      <c r="AB367" s="388"/>
      <c r="AC367" s="388"/>
      <c r="AD367" s="388"/>
      <c r="AE367" s="388"/>
      <c r="AF367" s="388"/>
      <c r="AG367" s="388"/>
      <c r="AH367" s="388"/>
      <c r="AI367" s="388"/>
      <c r="AJ367" s="388"/>
      <c r="AK367" s="388"/>
      <c r="AL367" s="388"/>
      <c r="AM367" s="388"/>
      <c r="AN367" s="388"/>
      <c r="AO367" s="388"/>
      <c r="AP367" s="388"/>
      <c r="AQ367" s="388"/>
      <c r="AR367" s="388"/>
      <c r="AS367" s="388"/>
      <c r="AT367" s="388"/>
      <c r="AU367" s="388"/>
      <c r="AV367" s="388"/>
      <c r="AW367" s="388"/>
      <c r="AX367" s="388"/>
      <c r="AY367" s="388"/>
      <c r="AZ367" s="388"/>
      <c r="BA367" s="388"/>
      <c r="BB367" s="388"/>
      <c r="BC367" s="388"/>
      <c r="BD367" s="388"/>
      <c r="BE367" s="388"/>
      <c r="BF367" s="388"/>
      <c r="BG367" s="388"/>
      <c r="BH367" s="388"/>
      <c r="BI367" s="388"/>
      <c r="BJ367" s="388"/>
      <c r="BK367" s="388"/>
      <c r="BL367" s="388"/>
      <c r="BM367" s="388"/>
      <c r="BN367" s="388"/>
    </row>
    <row r="368" spans="1:66" x14ac:dyDescent="0.25">
      <c r="A368" t="s">
        <v>657</v>
      </c>
      <c r="B368" s="92" t="s">
        <v>368</v>
      </c>
      <c r="C368" s="316">
        <v>0</v>
      </c>
      <c r="D368" s="316">
        <v>0</v>
      </c>
      <c r="E368" s="316">
        <v>0</v>
      </c>
      <c r="F368" s="316">
        <v>0</v>
      </c>
      <c r="G368" s="316">
        <v>0</v>
      </c>
      <c r="H368" s="316">
        <f t="shared" si="152"/>
        <v>0</v>
      </c>
      <c r="I368" s="316">
        <f>[3]Stadtbilanz!N28/3.6</f>
        <v>2422.7777777777778</v>
      </c>
      <c r="J368" s="185">
        <f t="shared" si="153"/>
        <v>0</v>
      </c>
      <c r="K368" s="185">
        <f t="shared" si="154"/>
        <v>0</v>
      </c>
      <c r="L368" s="185">
        <f>J368</f>
        <v>0</v>
      </c>
      <c r="M368" s="185">
        <f>K368</f>
        <v>0</v>
      </c>
      <c r="N368" s="185">
        <f t="shared" si="156"/>
        <v>0</v>
      </c>
      <c r="O368" s="185">
        <f>D368</f>
        <v>0</v>
      </c>
      <c r="P368" s="185">
        <f>F368</f>
        <v>0</v>
      </c>
      <c r="Q368" s="185">
        <f>G368</f>
        <v>0</v>
      </c>
      <c r="R368" s="185">
        <f t="shared" si="159"/>
        <v>0</v>
      </c>
      <c r="S368" s="185">
        <f>G368</f>
        <v>0</v>
      </c>
      <c r="T368" s="185"/>
      <c r="U368" s="137" t="str">
        <f t="shared" si="161"/>
        <v>Eigenstrom</v>
      </c>
      <c r="V368" s="223">
        <f t="shared" si="151"/>
        <v>0</v>
      </c>
      <c r="W368" s="223">
        <f t="shared" si="162"/>
        <v>0</v>
      </c>
      <c r="X368" s="223">
        <f>J368+W368</f>
        <v>0</v>
      </c>
      <c r="Y368" s="223">
        <f t="shared" si="164"/>
        <v>0</v>
      </c>
      <c r="Z368" s="223">
        <f t="shared" si="165"/>
        <v>0</v>
      </c>
    </row>
    <row r="369" spans="1:66" x14ac:dyDescent="0.25">
      <c r="A369" s="388" t="s">
        <v>596</v>
      </c>
      <c r="B369" s="403" t="s">
        <v>368</v>
      </c>
      <c r="C369" s="384">
        <v>28177.058017145122</v>
      </c>
      <c r="D369" s="384">
        <v>3580.6984341319881</v>
      </c>
      <c r="E369" s="384">
        <v>4699.1170375668098</v>
      </c>
      <c r="F369" s="384">
        <v>2199.2779034409741</v>
      </c>
      <c r="G369" s="384">
        <v>95852.884367683262</v>
      </c>
      <c r="H369" s="384">
        <f t="shared" si="152"/>
        <v>134509.03575996816</v>
      </c>
      <c r="I369" s="384">
        <f>[3]Stadtbilanz!N29/3.6</f>
        <v>111770.83333333333</v>
      </c>
      <c r="J369" s="385">
        <f t="shared" si="153"/>
        <v>28177.058017145122</v>
      </c>
      <c r="K369" s="385">
        <f t="shared" si="154"/>
        <v>86950.583079999982</v>
      </c>
      <c r="L369" s="385">
        <f>[3]KO_EE!I106</f>
        <v>31466.322609999999</v>
      </c>
      <c r="M369" s="385">
        <f>[3]KO_EE!J106</f>
        <v>86950.583079999997</v>
      </c>
      <c r="N369" s="385">
        <f t="shared" si="156"/>
        <v>86950.583079999982</v>
      </c>
      <c r="O369" s="326">
        <f>D369*$T369</f>
        <v>7161.3968682639761</v>
      </c>
      <c r="P369" s="326">
        <f>E369*$T369</f>
        <v>9398.2340751336196</v>
      </c>
      <c r="Q369" s="326">
        <f>F369*$T369</f>
        <v>4398.5558068819482</v>
      </c>
      <c r="R369" s="326">
        <f t="shared" si="159"/>
        <v>20958.186750279543</v>
      </c>
      <c r="S369" s="326">
        <f>M369-R369</f>
        <v>65992.396329720446</v>
      </c>
      <c r="T369" s="385">
        <v>2</v>
      </c>
      <c r="U369" s="386" t="str">
        <f t="shared" si="161"/>
        <v>Fremdstrom</v>
      </c>
      <c r="V369" s="387">
        <f t="shared" si="151"/>
        <v>31466.322609999999</v>
      </c>
      <c r="W369" s="387">
        <f t="shared" si="162"/>
        <v>20958.186750279543</v>
      </c>
      <c r="X369" s="387">
        <f>L369+W369</f>
        <v>52424.509360279539</v>
      </c>
      <c r="Y369" s="387">
        <f t="shared" si="164"/>
        <v>65992.396329720446</v>
      </c>
      <c r="Z369" s="387">
        <f t="shared" si="165"/>
        <v>118416.90568999999</v>
      </c>
      <c r="AA369" s="388"/>
      <c r="AB369" s="388"/>
      <c r="AC369" s="388"/>
      <c r="AD369" s="388"/>
      <c r="AE369" s="388"/>
      <c r="AF369" s="388"/>
      <c r="AG369" s="388"/>
      <c r="AH369" s="388"/>
      <c r="AI369" s="388"/>
      <c r="AJ369" s="388"/>
      <c r="AK369" s="388"/>
      <c r="AL369" s="388"/>
      <c r="AM369" s="388"/>
      <c r="AN369" s="388"/>
      <c r="AO369" s="388"/>
      <c r="AP369" s="388"/>
      <c r="AQ369" s="388"/>
      <c r="AR369" s="388"/>
      <c r="AS369" s="388"/>
      <c r="AT369" s="388"/>
      <c r="AU369" s="388"/>
      <c r="AV369" s="388"/>
      <c r="AW369" s="388"/>
      <c r="AX369" s="388"/>
      <c r="AY369" s="388"/>
      <c r="AZ369" s="388"/>
      <c r="BA369" s="388"/>
      <c r="BB369" s="388"/>
      <c r="BC369" s="388"/>
      <c r="BD369" s="388"/>
      <c r="BE369" s="388"/>
      <c r="BF369" s="388"/>
      <c r="BG369" s="388"/>
      <c r="BH369" s="388"/>
      <c r="BI369" s="388"/>
      <c r="BJ369" s="388"/>
      <c r="BK369" s="388"/>
      <c r="BL369" s="388"/>
      <c r="BM369" s="388"/>
      <c r="BN369" s="388"/>
    </row>
    <row r="370" spans="1:66" x14ac:dyDescent="0.25">
      <c r="A370" s="182" t="s">
        <v>9</v>
      </c>
      <c r="B370" s="92"/>
      <c r="C370" s="322">
        <f t="shared" ref="C370:M370" si="171">SUM(C347:C369)</f>
        <v>140825.51905231114</v>
      </c>
      <c r="D370" s="322">
        <f t="shared" si="171"/>
        <v>14260.023952954185</v>
      </c>
      <c r="E370" s="322">
        <f t="shared" si="171"/>
        <v>16504.065982558146</v>
      </c>
      <c r="F370" s="322">
        <f t="shared" si="171"/>
        <v>8118.9618588787853</v>
      </c>
      <c r="G370" s="322">
        <f t="shared" si="171"/>
        <v>108732.63844242203</v>
      </c>
      <c r="H370" s="322">
        <f t="shared" si="171"/>
        <v>288441.20928912424</v>
      </c>
      <c r="I370" s="322">
        <f t="shared" si="171"/>
        <v>273257.5</v>
      </c>
      <c r="J370" s="322">
        <f t="shared" si="171"/>
        <v>140825.51905231114</v>
      </c>
      <c r="K370" s="322">
        <f t="shared" si="171"/>
        <v>189746.80515335512</v>
      </c>
      <c r="L370" s="322">
        <f t="shared" si="171"/>
        <v>125751.8180465529</v>
      </c>
      <c r="M370" s="322">
        <f t="shared" si="171"/>
        <v>189746.80515335512</v>
      </c>
      <c r="N370" s="322"/>
      <c r="O370" s="322">
        <f>SUM(O347:O369)</f>
        <v>21457.480305362467</v>
      </c>
      <c r="P370" s="322"/>
      <c r="Q370" s="322"/>
      <c r="R370" s="322"/>
      <c r="S370" s="322"/>
      <c r="T370" s="322"/>
      <c r="U370" s="137" t="str">
        <f t="shared" si="161"/>
        <v>Summe</v>
      </c>
      <c r="V370" s="139">
        <f t="shared" si="151"/>
        <v>125751.8180465529</v>
      </c>
      <c r="W370" s="139">
        <f>SUM(W347:W369)</f>
        <v>60621.777563848926</v>
      </c>
      <c r="X370" s="139">
        <f>SUM(X347:X369)</f>
        <v>186373.5956104018</v>
      </c>
      <c r="Y370" s="139">
        <f>SUM(Y347:Y369)</f>
        <v>129125.02758950618</v>
      </c>
      <c r="Z370" s="139">
        <f>SUM(Z347:Z369)</f>
        <v>315498.62319990795</v>
      </c>
    </row>
    <row r="371" spans="1:66" x14ac:dyDescent="0.25">
      <c r="A371" s="92" t="s">
        <v>74</v>
      </c>
      <c r="C371" s="316">
        <v>4566.7315313458466</v>
      </c>
      <c r="D371" s="316">
        <v>130.832931417651</v>
      </c>
      <c r="E371" s="316">
        <v>55.001884819295654</v>
      </c>
      <c r="F371" s="316">
        <v>36.360720778171057</v>
      </c>
      <c r="G371" s="316">
        <v>62.446063258787831</v>
      </c>
      <c r="H371" s="316">
        <v>4851.3731316197518</v>
      </c>
    </row>
    <row r="372" spans="1:66" x14ac:dyDescent="0.25">
      <c r="A372" s="92" t="s">
        <v>658</v>
      </c>
      <c r="C372" s="316">
        <v>0</v>
      </c>
      <c r="D372" s="316">
        <v>0</v>
      </c>
      <c r="E372" s="316">
        <v>0</v>
      </c>
      <c r="F372" s="316">
        <v>0</v>
      </c>
      <c r="G372" s="316">
        <v>0</v>
      </c>
      <c r="H372" s="316">
        <v>0</v>
      </c>
    </row>
    <row r="373" spans="1:66" ht="77.25" x14ac:dyDescent="0.25">
      <c r="A373" s="92" t="s">
        <v>659</v>
      </c>
      <c r="C373" s="316">
        <v>0</v>
      </c>
      <c r="D373" s="316">
        <v>0</v>
      </c>
      <c r="E373" s="316">
        <v>0</v>
      </c>
      <c r="F373" s="316">
        <v>0</v>
      </c>
      <c r="G373" s="316">
        <v>0</v>
      </c>
      <c r="H373" s="316">
        <v>0</v>
      </c>
      <c r="U373" s="380" t="s">
        <v>638</v>
      </c>
      <c r="V373" s="191" t="s">
        <v>163</v>
      </c>
      <c r="W373" s="381" t="s">
        <v>164</v>
      </c>
      <c r="X373" s="382" t="s">
        <v>639</v>
      </c>
      <c r="Y373" s="381" t="s">
        <v>640</v>
      </c>
      <c r="Z373" s="381" t="s">
        <v>9</v>
      </c>
    </row>
    <row r="374" spans="1:66" x14ac:dyDescent="0.25">
      <c r="A374" s="92" t="s">
        <v>654</v>
      </c>
      <c r="C374" s="316">
        <v>0</v>
      </c>
      <c r="D374" s="316">
        <v>0</v>
      </c>
      <c r="E374" s="316">
        <v>0</v>
      </c>
      <c r="F374" s="316">
        <v>0</v>
      </c>
      <c r="G374" s="316">
        <v>0</v>
      </c>
      <c r="H374" s="316">
        <v>0</v>
      </c>
      <c r="U374" s="137" t="s">
        <v>641</v>
      </c>
      <c r="V374" s="223">
        <v>2640.4912020815291</v>
      </c>
      <c r="W374" s="223">
        <v>7.0392387882397687</v>
      </c>
      <c r="X374" s="223">
        <v>2647.5304408697689</v>
      </c>
      <c r="Y374" s="223">
        <v>1.4462984678465844</v>
      </c>
      <c r="Z374" s="223">
        <v>2648.9767393376155</v>
      </c>
    </row>
    <row r="375" spans="1:66" x14ac:dyDescent="0.25">
      <c r="A375" t="s">
        <v>660</v>
      </c>
      <c r="B375" t="s">
        <v>441</v>
      </c>
      <c r="C375" s="316">
        <v>0</v>
      </c>
      <c r="D375" s="316">
        <v>0</v>
      </c>
      <c r="E375" s="316">
        <v>0</v>
      </c>
      <c r="F375" s="316">
        <v>0</v>
      </c>
      <c r="G375" s="316">
        <v>0</v>
      </c>
      <c r="H375" s="316">
        <v>0</v>
      </c>
      <c r="U375" s="137" t="s">
        <v>645</v>
      </c>
      <c r="V375" s="223">
        <v>2876.976949680964</v>
      </c>
      <c r="W375" s="223">
        <v>42.276519061034264</v>
      </c>
      <c r="X375" s="223">
        <v>2919.2534687419984</v>
      </c>
      <c r="Y375" s="223">
        <v>14.548061058927409</v>
      </c>
      <c r="Z375" s="223">
        <v>2933.8015298009259</v>
      </c>
    </row>
    <row r="376" spans="1:66" x14ac:dyDescent="0.25">
      <c r="A376" t="s">
        <v>661</v>
      </c>
      <c r="B376" t="s">
        <v>441</v>
      </c>
      <c r="C376" s="316">
        <v>0</v>
      </c>
      <c r="D376" s="316">
        <v>0</v>
      </c>
      <c r="E376" s="316">
        <v>0</v>
      </c>
      <c r="F376" s="316">
        <v>0</v>
      </c>
      <c r="G376" s="316">
        <v>0</v>
      </c>
      <c r="H376" s="316">
        <v>0</v>
      </c>
      <c r="U376" s="137" t="s">
        <v>646</v>
      </c>
      <c r="V376" s="223">
        <v>62.31719024579705</v>
      </c>
      <c r="W376" s="223">
        <v>939.05324482644323</v>
      </c>
      <c r="X376" s="223">
        <v>1001.3704350722403</v>
      </c>
      <c r="Y376" s="223">
        <v>359.27755468918389</v>
      </c>
      <c r="Z376" s="223">
        <v>1360.6479897614242</v>
      </c>
    </row>
    <row r="377" spans="1:66" x14ac:dyDescent="0.25">
      <c r="A377" t="s">
        <v>662</v>
      </c>
      <c r="B377" t="s">
        <v>441</v>
      </c>
      <c r="C377" s="316">
        <v>0</v>
      </c>
      <c r="D377" s="316">
        <v>0</v>
      </c>
      <c r="E377" s="316">
        <v>0</v>
      </c>
      <c r="F377" s="316">
        <v>0</v>
      </c>
      <c r="G377" s="316">
        <v>0</v>
      </c>
      <c r="H377" s="316">
        <v>0</v>
      </c>
      <c r="U377" s="137" t="s">
        <v>649</v>
      </c>
      <c r="V377" s="223">
        <v>8481.1299109520332</v>
      </c>
      <c r="W377" s="223">
        <v>8051.9584006614396</v>
      </c>
      <c r="X377" s="223">
        <v>16533.088311613472</v>
      </c>
      <c r="Y377" s="223">
        <v>2352.5320725231622</v>
      </c>
      <c r="Z377" s="223">
        <v>18885.620384136633</v>
      </c>
    </row>
    <row r="378" spans="1:66" x14ac:dyDescent="0.25">
      <c r="A378" t="s">
        <v>663</v>
      </c>
      <c r="C378" s="316">
        <v>0</v>
      </c>
      <c r="D378" s="316">
        <v>0</v>
      </c>
      <c r="E378" s="316">
        <v>0</v>
      </c>
      <c r="F378" s="316">
        <v>0</v>
      </c>
      <c r="G378" s="316">
        <v>0</v>
      </c>
      <c r="H378" s="316">
        <v>0</v>
      </c>
      <c r="U378" s="386" t="s">
        <v>653</v>
      </c>
      <c r="V378" s="387">
        <v>84343.146229999998</v>
      </c>
      <c r="W378" s="387">
        <v>28185.212909074067</v>
      </c>
      <c r="X378" s="387">
        <v>112528.35913907406</v>
      </c>
      <c r="Y378" s="387">
        <v>55993.176270925949</v>
      </c>
      <c r="Z378" s="387">
        <v>168521.53541000001</v>
      </c>
    </row>
    <row r="379" spans="1:66" x14ac:dyDescent="0.25">
      <c r="C379" s="185">
        <f t="shared" ref="C379:H379" si="172">SUM(C347:C378)</f>
        <v>286217.76963596814</v>
      </c>
      <c r="D379" s="185">
        <f t="shared" si="172"/>
        <v>28650.880837326022</v>
      </c>
      <c r="E379" s="185">
        <f t="shared" si="172"/>
        <v>33063.133849935584</v>
      </c>
      <c r="F379" s="185">
        <f t="shared" si="172"/>
        <v>16274.284438535742</v>
      </c>
      <c r="G379" s="185">
        <f t="shared" si="172"/>
        <v>217527.72294810286</v>
      </c>
      <c r="H379" s="185">
        <f t="shared" si="172"/>
        <v>581733.79170986824</v>
      </c>
      <c r="U379" s="137" t="s">
        <v>198</v>
      </c>
      <c r="V379" s="223">
        <v>194.64268378994939</v>
      </c>
      <c r="W379" s="223">
        <v>216.09513100698797</v>
      </c>
      <c r="X379" s="223">
        <v>410.73781479693736</v>
      </c>
      <c r="Y379" s="223">
        <v>1.7423642718528263</v>
      </c>
      <c r="Z379" s="223">
        <v>412.48017906879016</v>
      </c>
    </row>
    <row r="380" spans="1:66" x14ac:dyDescent="0.25">
      <c r="U380" s="137" t="s">
        <v>656</v>
      </c>
      <c r="V380" s="223">
        <v>340</v>
      </c>
      <c r="W380" s="223">
        <v>0</v>
      </c>
      <c r="X380" s="223">
        <v>340</v>
      </c>
      <c r="Y380" s="223">
        <v>0</v>
      </c>
      <c r="Z380" s="223">
        <v>340</v>
      </c>
    </row>
    <row r="381" spans="1:66" x14ac:dyDescent="0.25">
      <c r="G381" s="92" t="s">
        <v>610</v>
      </c>
      <c r="U381" s="386" t="s">
        <v>334</v>
      </c>
      <c r="V381" s="387">
        <v>5346.7912698026139</v>
      </c>
      <c r="W381" s="387">
        <v>2221.9553701511772</v>
      </c>
      <c r="X381" s="387">
        <v>7568.7466399537916</v>
      </c>
      <c r="Y381" s="387">
        <v>4409.9086378488228</v>
      </c>
      <c r="Z381" s="387">
        <v>11978.655277802614</v>
      </c>
    </row>
  </sheetData>
  <conditionalFormatting sqref="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{A0F23DF5-9577-4AB4-A97E-58EB94BCB0CA}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23DF5-9577-4AB4-A97E-58EB94BCB0CA}">
            <x14:dataBar minLength="0" maxLength="100" negativeBarColorSameAsPositive="1" axisPosition="none">
              <x14:cfvo type="min"/>
              <x14:cfvo type="max"/>
            </x14:dataBar>
          </x14:cfRule>
          <xm:sqref>D9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I45" sqref="I45"/>
    </sheetView>
  </sheetViews>
  <sheetFormatPr baseColWidth="10" defaultRowHeight="15" x14ac:dyDescent="0.25"/>
  <cols>
    <col min="1" max="1" width="17.7109375" bestFit="1" customWidth="1"/>
    <col min="2" max="2" width="13" bestFit="1" customWidth="1"/>
    <col min="3" max="4" width="12" bestFit="1" customWidth="1"/>
    <col min="5" max="5" width="13" bestFit="1" customWidth="1"/>
    <col min="7" max="7" width="13" bestFit="1" customWidth="1"/>
    <col min="257" max="257" width="17.7109375" bestFit="1" customWidth="1"/>
    <col min="258" max="258" width="13" bestFit="1" customWidth="1"/>
    <col min="259" max="260" width="12" bestFit="1" customWidth="1"/>
    <col min="261" max="261" width="13" bestFit="1" customWidth="1"/>
    <col min="263" max="263" width="13" bestFit="1" customWidth="1"/>
    <col min="513" max="513" width="17.7109375" bestFit="1" customWidth="1"/>
    <col min="514" max="514" width="13" bestFit="1" customWidth="1"/>
    <col min="515" max="516" width="12" bestFit="1" customWidth="1"/>
    <col min="517" max="517" width="13" bestFit="1" customWidth="1"/>
    <col min="519" max="519" width="13" bestFit="1" customWidth="1"/>
    <col min="769" max="769" width="17.7109375" bestFit="1" customWidth="1"/>
    <col min="770" max="770" width="13" bestFit="1" customWidth="1"/>
    <col min="771" max="772" width="12" bestFit="1" customWidth="1"/>
    <col min="773" max="773" width="13" bestFit="1" customWidth="1"/>
    <col min="775" max="775" width="13" bestFit="1" customWidth="1"/>
    <col min="1025" max="1025" width="17.7109375" bestFit="1" customWidth="1"/>
    <col min="1026" max="1026" width="13" bestFit="1" customWidth="1"/>
    <col min="1027" max="1028" width="12" bestFit="1" customWidth="1"/>
    <col min="1029" max="1029" width="13" bestFit="1" customWidth="1"/>
    <col min="1031" max="1031" width="13" bestFit="1" customWidth="1"/>
    <col min="1281" max="1281" width="17.7109375" bestFit="1" customWidth="1"/>
    <col min="1282" max="1282" width="13" bestFit="1" customWidth="1"/>
    <col min="1283" max="1284" width="12" bestFit="1" customWidth="1"/>
    <col min="1285" max="1285" width="13" bestFit="1" customWidth="1"/>
    <col min="1287" max="1287" width="13" bestFit="1" customWidth="1"/>
    <col min="1537" max="1537" width="17.7109375" bestFit="1" customWidth="1"/>
    <col min="1538" max="1538" width="13" bestFit="1" customWidth="1"/>
    <col min="1539" max="1540" width="12" bestFit="1" customWidth="1"/>
    <col min="1541" max="1541" width="13" bestFit="1" customWidth="1"/>
    <col min="1543" max="1543" width="13" bestFit="1" customWidth="1"/>
    <col min="1793" max="1793" width="17.7109375" bestFit="1" customWidth="1"/>
    <col min="1794" max="1794" width="13" bestFit="1" customWidth="1"/>
    <col min="1795" max="1796" width="12" bestFit="1" customWidth="1"/>
    <col min="1797" max="1797" width="13" bestFit="1" customWidth="1"/>
    <col min="1799" max="1799" width="13" bestFit="1" customWidth="1"/>
    <col min="2049" max="2049" width="17.7109375" bestFit="1" customWidth="1"/>
    <col min="2050" max="2050" width="13" bestFit="1" customWidth="1"/>
    <col min="2051" max="2052" width="12" bestFit="1" customWidth="1"/>
    <col min="2053" max="2053" width="13" bestFit="1" customWidth="1"/>
    <col min="2055" max="2055" width="13" bestFit="1" customWidth="1"/>
    <col min="2305" max="2305" width="17.7109375" bestFit="1" customWidth="1"/>
    <col min="2306" max="2306" width="13" bestFit="1" customWidth="1"/>
    <col min="2307" max="2308" width="12" bestFit="1" customWidth="1"/>
    <col min="2309" max="2309" width="13" bestFit="1" customWidth="1"/>
    <col min="2311" max="2311" width="13" bestFit="1" customWidth="1"/>
    <col min="2561" max="2561" width="17.7109375" bestFit="1" customWidth="1"/>
    <col min="2562" max="2562" width="13" bestFit="1" customWidth="1"/>
    <col min="2563" max="2564" width="12" bestFit="1" customWidth="1"/>
    <col min="2565" max="2565" width="13" bestFit="1" customWidth="1"/>
    <col min="2567" max="2567" width="13" bestFit="1" customWidth="1"/>
    <col min="2817" max="2817" width="17.7109375" bestFit="1" customWidth="1"/>
    <col min="2818" max="2818" width="13" bestFit="1" customWidth="1"/>
    <col min="2819" max="2820" width="12" bestFit="1" customWidth="1"/>
    <col min="2821" max="2821" width="13" bestFit="1" customWidth="1"/>
    <col min="2823" max="2823" width="13" bestFit="1" customWidth="1"/>
    <col min="3073" max="3073" width="17.7109375" bestFit="1" customWidth="1"/>
    <col min="3074" max="3074" width="13" bestFit="1" customWidth="1"/>
    <col min="3075" max="3076" width="12" bestFit="1" customWidth="1"/>
    <col min="3077" max="3077" width="13" bestFit="1" customWidth="1"/>
    <col min="3079" max="3079" width="13" bestFit="1" customWidth="1"/>
    <col min="3329" max="3329" width="17.7109375" bestFit="1" customWidth="1"/>
    <col min="3330" max="3330" width="13" bestFit="1" customWidth="1"/>
    <col min="3331" max="3332" width="12" bestFit="1" customWidth="1"/>
    <col min="3333" max="3333" width="13" bestFit="1" customWidth="1"/>
    <col min="3335" max="3335" width="13" bestFit="1" customWidth="1"/>
    <col min="3585" max="3585" width="17.7109375" bestFit="1" customWidth="1"/>
    <col min="3586" max="3586" width="13" bestFit="1" customWidth="1"/>
    <col min="3587" max="3588" width="12" bestFit="1" customWidth="1"/>
    <col min="3589" max="3589" width="13" bestFit="1" customWidth="1"/>
    <col min="3591" max="3591" width="13" bestFit="1" customWidth="1"/>
    <col min="3841" max="3841" width="17.7109375" bestFit="1" customWidth="1"/>
    <col min="3842" max="3842" width="13" bestFit="1" customWidth="1"/>
    <col min="3843" max="3844" width="12" bestFit="1" customWidth="1"/>
    <col min="3845" max="3845" width="13" bestFit="1" customWidth="1"/>
    <col min="3847" max="3847" width="13" bestFit="1" customWidth="1"/>
    <col min="4097" max="4097" width="17.7109375" bestFit="1" customWidth="1"/>
    <col min="4098" max="4098" width="13" bestFit="1" customWidth="1"/>
    <col min="4099" max="4100" width="12" bestFit="1" customWidth="1"/>
    <col min="4101" max="4101" width="13" bestFit="1" customWidth="1"/>
    <col min="4103" max="4103" width="13" bestFit="1" customWidth="1"/>
    <col min="4353" max="4353" width="17.7109375" bestFit="1" customWidth="1"/>
    <col min="4354" max="4354" width="13" bestFit="1" customWidth="1"/>
    <col min="4355" max="4356" width="12" bestFit="1" customWidth="1"/>
    <col min="4357" max="4357" width="13" bestFit="1" customWidth="1"/>
    <col min="4359" max="4359" width="13" bestFit="1" customWidth="1"/>
    <col min="4609" max="4609" width="17.7109375" bestFit="1" customWidth="1"/>
    <col min="4610" max="4610" width="13" bestFit="1" customWidth="1"/>
    <col min="4611" max="4612" width="12" bestFit="1" customWidth="1"/>
    <col min="4613" max="4613" width="13" bestFit="1" customWidth="1"/>
    <col min="4615" max="4615" width="13" bestFit="1" customWidth="1"/>
    <col min="4865" max="4865" width="17.7109375" bestFit="1" customWidth="1"/>
    <col min="4866" max="4866" width="13" bestFit="1" customWidth="1"/>
    <col min="4867" max="4868" width="12" bestFit="1" customWidth="1"/>
    <col min="4869" max="4869" width="13" bestFit="1" customWidth="1"/>
    <col min="4871" max="4871" width="13" bestFit="1" customWidth="1"/>
    <col min="5121" max="5121" width="17.7109375" bestFit="1" customWidth="1"/>
    <col min="5122" max="5122" width="13" bestFit="1" customWidth="1"/>
    <col min="5123" max="5124" width="12" bestFit="1" customWidth="1"/>
    <col min="5125" max="5125" width="13" bestFit="1" customWidth="1"/>
    <col min="5127" max="5127" width="13" bestFit="1" customWidth="1"/>
    <col min="5377" max="5377" width="17.7109375" bestFit="1" customWidth="1"/>
    <col min="5378" max="5378" width="13" bestFit="1" customWidth="1"/>
    <col min="5379" max="5380" width="12" bestFit="1" customWidth="1"/>
    <col min="5381" max="5381" width="13" bestFit="1" customWidth="1"/>
    <col min="5383" max="5383" width="13" bestFit="1" customWidth="1"/>
    <col min="5633" max="5633" width="17.7109375" bestFit="1" customWidth="1"/>
    <col min="5634" max="5634" width="13" bestFit="1" customWidth="1"/>
    <col min="5635" max="5636" width="12" bestFit="1" customWidth="1"/>
    <col min="5637" max="5637" width="13" bestFit="1" customWidth="1"/>
    <col min="5639" max="5639" width="13" bestFit="1" customWidth="1"/>
    <col min="5889" max="5889" width="17.7109375" bestFit="1" customWidth="1"/>
    <col min="5890" max="5890" width="13" bestFit="1" customWidth="1"/>
    <col min="5891" max="5892" width="12" bestFit="1" customWidth="1"/>
    <col min="5893" max="5893" width="13" bestFit="1" customWidth="1"/>
    <col min="5895" max="5895" width="13" bestFit="1" customWidth="1"/>
    <col min="6145" max="6145" width="17.7109375" bestFit="1" customWidth="1"/>
    <col min="6146" max="6146" width="13" bestFit="1" customWidth="1"/>
    <col min="6147" max="6148" width="12" bestFit="1" customWidth="1"/>
    <col min="6149" max="6149" width="13" bestFit="1" customWidth="1"/>
    <col min="6151" max="6151" width="13" bestFit="1" customWidth="1"/>
    <col min="6401" max="6401" width="17.7109375" bestFit="1" customWidth="1"/>
    <col min="6402" max="6402" width="13" bestFit="1" customWidth="1"/>
    <col min="6403" max="6404" width="12" bestFit="1" customWidth="1"/>
    <col min="6405" max="6405" width="13" bestFit="1" customWidth="1"/>
    <col min="6407" max="6407" width="13" bestFit="1" customWidth="1"/>
    <col min="6657" max="6657" width="17.7109375" bestFit="1" customWidth="1"/>
    <col min="6658" max="6658" width="13" bestFit="1" customWidth="1"/>
    <col min="6659" max="6660" width="12" bestFit="1" customWidth="1"/>
    <col min="6661" max="6661" width="13" bestFit="1" customWidth="1"/>
    <col min="6663" max="6663" width="13" bestFit="1" customWidth="1"/>
    <col min="6913" max="6913" width="17.7109375" bestFit="1" customWidth="1"/>
    <col min="6914" max="6914" width="13" bestFit="1" customWidth="1"/>
    <col min="6915" max="6916" width="12" bestFit="1" customWidth="1"/>
    <col min="6917" max="6917" width="13" bestFit="1" customWidth="1"/>
    <col min="6919" max="6919" width="13" bestFit="1" customWidth="1"/>
    <col min="7169" max="7169" width="17.7109375" bestFit="1" customWidth="1"/>
    <col min="7170" max="7170" width="13" bestFit="1" customWidth="1"/>
    <col min="7171" max="7172" width="12" bestFit="1" customWidth="1"/>
    <col min="7173" max="7173" width="13" bestFit="1" customWidth="1"/>
    <col min="7175" max="7175" width="13" bestFit="1" customWidth="1"/>
    <col min="7425" max="7425" width="17.7109375" bestFit="1" customWidth="1"/>
    <col min="7426" max="7426" width="13" bestFit="1" customWidth="1"/>
    <col min="7427" max="7428" width="12" bestFit="1" customWidth="1"/>
    <col min="7429" max="7429" width="13" bestFit="1" customWidth="1"/>
    <col min="7431" max="7431" width="13" bestFit="1" customWidth="1"/>
    <col min="7681" max="7681" width="17.7109375" bestFit="1" customWidth="1"/>
    <col min="7682" max="7682" width="13" bestFit="1" customWidth="1"/>
    <col min="7683" max="7684" width="12" bestFit="1" customWidth="1"/>
    <col min="7685" max="7685" width="13" bestFit="1" customWidth="1"/>
    <col min="7687" max="7687" width="13" bestFit="1" customWidth="1"/>
    <col min="7937" max="7937" width="17.7109375" bestFit="1" customWidth="1"/>
    <col min="7938" max="7938" width="13" bestFit="1" customWidth="1"/>
    <col min="7939" max="7940" width="12" bestFit="1" customWidth="1"/>
    <col min="7941" max="7941" width="13" bestFit="1" customWidth="1"/>
    <col min="7943" max="7943" width="13" bestFit="1" customWidth="1"/>
    <col min="8193" max="8193" width="17.7109375" bestFit="1" customWidth="1"/>
    <col min="8194" max="8194" width="13" bestFit="1" customWidth="1"/>
    <col min="8195" max="8196" width="12" bestFit="1" customWidth="1"/>
    <col min="8197" max="8197" width="13" bestFit="1" customWidth="1"/>
    <col min="8199" max="8199" width="13" bestFit="1" customWidth="1"/>
    <col min="8449" max="8449" width="17.7109375" bestFit="1" customWidth="1"/>
    <col min="8450" max="8450" width="13" bestFit="1" customWidth="1"/>
    <col min="8451" max="8452" width="12" bestFit="1" customWidth="1"/>
    <col min="8453" max="8453" width="13" bestFit="1" customWidth="1"/>
    <col min="8455" max="8455" width="13" bestFit="1" customWidth="1"/>
    <col min="8705" max="8705" width="17.7109375" bestFit="1" customWidth="1"/>
    <col min="8706" max="8706" width="13" bestFit="1" customWidth="1"/>
    <col min="8707" max="8708" width="12" bestFit="1" customWidth="1"/>
    <col min="8709" max="8709" width="13" bestFit="1" customWidth="1"/>
    <col min="8711" max="8711" width="13" bestFit="1" customWidth="1"/>
    <col min="8961" max="8961" width="17.7109375" bestFit="1" customWidth="1"/>
    <col min="8962" max="8962" width="13" bestFit="1" customWidth="1"/>
    <col min="8963" max="8964" width="12" bestFit="1" customWidth="1"/>
    <col min="8965" max="8965" width="13" bestFit="1" customWidth="1"/>
    <col min="8967" max="8967" width="13" bestFit="1" customWidth="1"/>
    <col min="9217" max="9217" width="17.7109375" bestFit="1" customWidth="1"/>
    <col min="9218" max="9218" width="13" bestFit="1" customWidth="1"/>
    <col min="9219" max="9220" width="12" bestFit="1" customWidth="1"/>
    <col min="9221" max="9221" width="13" bestFit="1" customWidth="1"/>
    <col min="9223" max="9223" width="13" bestFit="1" customWidth="1"/>
    <col min="9473" max="9473" width="17.7109375" bestFit="1" customWidth="1"/>
    <col min="9474" max="9474" width="13" bestFit="1" customWidth="1"/>
    <col min="9475" max="9476" width="12" bestFit="1" customWidth="1"/>
    <col min="9477" max="9477" width="13" bestFit="1" customWidth="1"/>
    <col min="9479" max="9479" width="13" bestFit="1" customWidth="1"/>
    <col min="9729" max="9729" width="17.7109375" bestFit="1" customWidth="1"/>
    <col min="9730" max="9730" width="13" bestFit="1" customWidth="1"/>
    <col min="9731" max="9732" width="12" bestFit="1" customWidth="1"/>
    <col min="9733" max="9733" width="13" bestFit="1" customWidth="1"/>
    <col min="9735" max="9735" width="13" bestFit="1" customWidth="1"/>
    <col min="9985" max="9985" width="17.7109375" bestFit="1" customWidth="1"/>
    <col min="9986" max="9986" width="13" bestFit="1" customWidth="1"/>
    <col min="9987" max="9988" width="12" bestFit="1" customWidth="1"/>
    <col min="9989" max="9989" width="13" bestFit="1" customWidth="1"/>
    <col min="9991" max="9991" width="13" bestFit="1" customWidth="1"/>
    <col min="10241" max="10241" width="17.7109375" bestFit="1" customWidth="1"/>
    <col min="10242" max="10242" width="13" bestFit="1" customWidth="1"/>
    <col min="10243" max="10244" width="12" bestFit="1" customWidth="1"/>
    <col min="10245" max="10245" width="13" bestFit="1" customWidth="1"/>
    <col min="10247" max="10247" width="13" bestFit="1" customWidth="1"/>
    <col min="10497" max="10497" width="17.7109375" bestFit="1" customWidth="1"/>
    <col min="10498" max="10498" width="13" bestFit="1" customWidth="1"/>
    <col min="10499" max="10500" width="12" bestFit="1" customWidth="1"/>
    <col min="10501" max="10501" width="13" bestFit="1" customWidth="1"/>
    <col min="10503" max="10503" width="13" bestFit="1" customWidth="1"/>
    <col min="10753" max="10753" width="17.7109375" bestFit="1" customWidth="1"/>
    <col min="10754" max="10754" width="13" bestFit="1" customWidth="1"/>
    <col min="10755" max="10756" width="12" bestFit="1" customWidth="1"/>
    <col min="10757" max="10757" width="13" bestFit="1" customWidth="1"/>
    <col min="10759" max="10759" width="13" bestFit="1" customWidth="1"/>
    <col min="11009" max="11009" width="17.7109375" bestFit="1" customWidth="1"/>
    <col min="11010" max="11010" width="13" bestFit="1" customWidth="1"/>
    <col min="11011" max="11012" width="12" bestFit="1" customWidth="1"/>
    <col min="11013" max="11013" width="13" bestFit="1" customWidth="1"/>
    <col min="11015" max="11015" width="13" bestFit="1" customWidth="1"/>
    <col min="11265" max="11265" width="17.7109375" bestFit="1" customWidth="1"/>
    <col min="11266" max="11266" width="13" bestFit="1" customWidth="1"/>
    <col min="11267" max="11268" width="12" bestFit="1" customWidth="1"/>
    <col min="11269" max="11269" width="13" bestFit="1" customWidth="1"/>
    <col min="11271" max="11271" width="13" bestFit="1" customWidth="1"/>
    <col min="11521" max="11521" width="17.7109375" bestFit="1" customWidth="1"/>
    <col min="11522" max="11522" width="13" bestFit="1" customWidth="1"/>
    <col min="11523" max="11524" width="12" bestFit="1" customWidth="1"/>
    <col min="11525" max="11525" width="13" bestFit="1" customWidth="1"/>
    <col min="11527" max="11527" width="13" bestFit="1" customWidth="1"/>
    <col min="11777" max="11777" width="17.7109375" bestFit="1" customWidth="1"/>
    <col min="11778" max="11778" width="13" bestFit="1" customWidth="1"/>
    <col min="11779" max="11780" width="12" bestFit="1" customWidth="1"/>
    <col min="11781" max="11781" width="13" bestFit="1" customWidth="1"/>
    <col min="11783" max="11783" width="13" bestFit="1" customWidth="1"/>
    <col min="12033" max="12033" width="17.7109375" bestFit="1" customWidth="1"/>
    <col min="12034" max="12034" width="13" bestFit="1" customWidth="1"/>
    <col min="12035" max="12036" width="12" bestFit="1" customWidth="1"/>
    <col min="12037" max="12037" width="13" bestFit="1" customWidth="1"/>
    <col min="12039" max="12039" width="13" bestFit="1" customWidth="1"/>
    <col min="12289" max="12289" width="17.7109375" bestFit="1" customWidth="1"/>
    <col min="12290" max="12290" width="13" bestFit="1" customWidth="1"/>
    <col min="12291" max="12292" width="12" bestFit="1" customWidth="1"/>
    <col min="12293" max="12293" width="13" bestFit="1" customWidth="1"/>
    <col min="12295" max="12295" width="13" bestFit="1" customWidth="1"/>
    <col min="12545" max="12545" width="17.7109375" bestFit="1" customWidth="1"/>
    <col min="12546" max="12546" width="13" bestFit="1" customWidth="1"/>
    <col min="12547" max="12548" width="12" bestFit="1" customWidth="1"/>
    <col min="12549" max="12549" width="13" bestFit="1" customWidth="1"/>
    <col min="12551" max="12551" width="13" bestFit="1" customWidth="1"/>
    <col min="12801" max="12801" width="17.7109375" bestFit="1" customWidth="1"/>
    <col min="12802" max="12802" width="13" bestFit="1" customWidth="1"/>
    <col min="12803" max="12804" width="12" bestFit="1" customWidth="1"/>
    <col min="12805" max="12805" width="13" bestFit="1" customWidth="1"/>
    <col min="12807" max="12807" width="13" bestFit="1" customWidth="1"/>
    <col min="13057" max="13057" width="17.7109375" bestFit="1" customWidth="1"/>
    <col min="13058" max="13058" width="13" bestFit="1" customWidth="1"/>
    <col min="13059" max="13060" width="12" bestFit="1" customWidth="1"/>
    <col min="13061" max="13061" width="13" bestFit="1" customWidth="1"/>
    <col min="13063" max="13063" width="13" bestFit="1" customWidth="1"/>
    <col min="13313" max="13313" width="17.7109375" bestFit="1" customWidth="1"/>
    <col min="13314" max="13314" width="13" bestFit="1" customWidth="1"/>
    <col min="13315" max="13316" width="12" bestFit="1" customWidth="1"/>
    <col min="13317" max="13317" width="13" bestFit="1" customWidth="1"/>
    <col min="13319" max="13319" width="13" bestFit="1" customWidth="1"/>
    <col min="13569" max="13569" width="17.7109375" bestFit="1" customWidth="1"/>
    <col min="13570" max="13570" width="13" bestFit="1" customWidth="1"/>
    <col min="13571" max="13572" width="12" bestFit="1" customWidth="1"/>
    <col min="13573" max="13573" width="13" bestFit="1" customWidth="1"/>
    <col min="13575" max="13575" width="13" bestFit="1" customWidth="1"/>
    <col min="13825" max="13825" width="17.7109375" bestFit="1" customWidth="1"/>
    <col min="13826" max="13826" width="13" bestFit="1" customWidth="1"/>
    <col min="13827" max="13828" width="12" bestFit="1" customWidth="1"/>
    <col min="13829" max="13829" width="13" bestFit="1" customWidth="1"/>
    <col min="13831" max="13831" width="13" bestFit="1" customWidth="1"/>
    <col min="14081" max="14081" width="17.7109375" bestFit="1" customWidth="1"/>
    <col min="14082" max="14082" width="13" bestFit="1" customWidth="1"/>
    <col min="14083" max="14084" width="12" bestFit="1" customWidth="1"/>
    <col min="14085" max="14085" width="13" bestFit="1" customWidth="1"/>
    <col min="14087" max="14087" width="13" bestFit="1" customWidth="1"/>
    <col min="14337" max="14337" width="17.7109375" bestFit="1" customWidth="1"/>
    <col min="14338" max="14338" width="13" bestFit="1" customWidth="1"/>
    <col min="14339" max="14340" width="12" bestFit="1" customWidth="1"/>
    <col min="14341" max="14341" width="13" bestFit="1" customWidth="1"/>
    <col min="14343" max="14343" width="13" bestFit="1" customWidth="1"/>
    <col min="14593" max="14593" width="17.7109375" bestFit="1" customWidth="1"/>
    <col min="14594" max="14594" width="13" bestFit="1" customWidth="1"/>
    <col min="14595" max="14596" width="12" bestFit="1" customWidth="1"/>
    <col min="14597" max="14597" width="13" bestFit="1" customWidth="1"/>
    <col min="14599" max="14599" width="13" bestFit="1" customWidth="1"/>
    <col min="14849" max="14849" width="17.7109375" bestFit="1" customWidth="1"/>
    <col min="14850" max="14850" width="13" bestFit="1" customWidth="1"/>
    <col min="14851" max="14852" width="12" bestFit="1" customWidth="1"/>
    <col min="14853" max="14853" width="13" bestFit="1" customWidth="1"/>
    <col min="14855" max="14855" width="13" bestFit="1" customWidth="1"/>
    <col min="15105" max="15105" width="17.7109375" bestFit="1" customWidth="1"/>
    <col min="15106" max="15106" width="13" bestFit="1" customWidth="1"/>
    <col min="15107" max="15108" width="12" bestFit="1" customWidth="1"/>
    <col min="15109" max="15109" width="13" bestFit="1" customWidth="1"/>
    <col min="15111" max="15111" width="13" bestFit="1" customWidth="1"/>
    <col min="15361" max="15361" width="17.7109375" bestFit="1" customWidth="1"/>
    <col min="15362" max="15362" width="13" bestFit="1" customWidth="1"/>
    <col min="15363" max="15364" width="12" bestFit="1" customWidth="1"/>
    <col min="15365" max="15365" width="13" bestFit="1" customWidth="1"/>
    <col min="15367" max="15367" width="13" bestFit="1" customWidth="1"/>
    <col min="15617" max="15617" width="17.7109375" bestFit="1" customWidth="1"/>
    <col min="15618" max="15618" width="13" bestFit="1" customWidth="1"/>
    <col min="15619" max="15620" width="12" bestFit="1" customWidth="1"/>
    <col min="15621" max="15621" width="13" bestFit="1" customWidth="1"/>
    <col min="15623" max="15623" width="13" bestFit="1" customWidth="1"/>
    <col min="15873" max="15873" width="17.7109375" bestFit="1" customWidth="1"/>
    <col min="15874" max="15874" width="13" bestFit="1" customWidth="1"/>
    <col min="15875" max="15876" width="12" bestFit="1" customWidth="1"/>
    <col min="15877" max="15877" width="13" bestFit="1" customWidth="1"/>
    <col min="15879" max="15879" width="13" bestFit="1" customWidth="1"/>
    <col min="16129" max="16129" width="17.7109375" bestFit="1" customWidth="1"/>
    <col min="16130" max="16130" width="13" bestFit="1" customWidth="1"/>
    <col min="16131" max="16132" width="12" bestFit="1" customWidth="1"/>
    <col min="16133" max="16133" width="13" bestFit="1" customWidth="1"/>
    <col min="16135" max="16135" width="13" bestFit="1" customWidth="1"/>
  </cols>
  <sheetData>
    <row r="3" spans="1:7" x14ac:dyDescent="0.25">
      <c r="A3" s="3"/>
      <c r="B3" s="69" t="s">
        <v>16</v>
      </c>
      <c r="C3" s="69" t="s">
        <v>68</v>
      </c>
      <c r="D3" s="69" t="s">
        <v>69</v>
      </c>
      <c r="E3" s="69" t="s">
        <v>11</v>
      </c>
      <c r="F3" s="3"/>
    </row>
    <row r="4" spans="1:7" x14ac:dyDescent="0.25">
      <c r="A4" s="69">
        <v>2008</v>
      </c>
      <c r="B4" s="74">
        <f>[1]TabellenEE!$C$64*277.7778</f>
        <v>86666.673600000009</v>
      </c>
      <c r="C4" s="74">
        <f>[1]TabellenEE!$C$53*277.7778</f>
        <v>84722.229000000007</v>
      </c>
      <c r="D4" s="74">
        <v>0</v>
      </c>
      <c r="E4" s="74">
        <f>[1]TabellenEE!$C$48*277.7778</f>
        <v>117194.45382</v>
      </c>
      <c r="F4" s="3" t="s">
        <v>94</v>
      </c>
    </row>
    <row r="5" spans="1:7" x14ac:dyDescent="0.25">
      <c r="A5" s="69">
        <v>2050</v>
      </c>
      <c r="B5" s="68">
        <f>'Sankey2050 (GWh original)'!F78+'Sankey2050 (GWh original)'!H64+'Sankey2050 (GWh original)'!J45</f>
        <v>80416.6731</v>
      </c>
      <c r="C5" s="68">
        <f>'Sankey2050 (GWh original)'!F123+'Sankey2050 (GWh original)'!F111+'Sankey2050 (GWh original)'!J43</f>
        <v>32392.470042908179</v>
      </c>
      <c r="D5" s="68">
        <f>'Sankey2050 (GWh original)'!I48</f>
        <v>10607.533397091829</v>
      </c>
      <c r="E5" s="68">
        <f>'Sankey2050 (GWh original)'!F41+'Sankey2050 (GWh original)'!F63+'Sankey2050 (GWh original)'!F54</f>
        <v>66388.89420000001</v>
      </c>
      <c r="F5" s="3" t="s">
        <v>55</v>
      </c>
      <c r="G5" s="54"/>
    </row>
    <row r="6" spans="1:7" ht="15.75" thickBot="1" x14ac:dyDescent="0.3">
      <c r="A6" s="70" t="s">
        <v>71</v>
      </c>
      <c r="B6" s="71">
        <f>[1]TabellenEE!$J$64*277.7778</f>
        <v>84444.45120000001</v>
      </c>
      <c r="C6" s="71">
        <f>[1]TabellenEE!$J$53*277.7778</f>
        <v>38055.558600000004</v>
      </c>
      <c r="D6" s="73">
        <v>0</v>
      </c>
      <c r="E6" s="72">
        <f>[1]TabellenEE!$J$48*277.7778</f>
        <v>66388.89420000001</v>
      </c>
      <c r="F6" s="70"/>
      <c r="G6" t="s">
        <v>95</v>
      </c>
    </row>
    <row r="7" spans="1:7" ht="15.75" thickTop="1" x14ac:dyDescent="0.25">
      <c r="A7" s="6" t="s">
        <v>52</v>
      </c>
      <c r="B7" s="56">
        <f>B4-B5</f>
        <v>6250.0005000000092</v>
      </c>
      <c r="C7" s="56">
        <f>C4-C5</f>
        <v>52329.758957091828</v>
      </c>
      <c r="D7" s="56"/>
      <c r="E7" s="56">
        <f>E4-E5</f>
        <v>50805.559619999985</v>
      </c>
      <c r="F7" s="6"/>
    </row>
    <row r="8" spans="1:7" x14ac:dyDescent="0.25">
      <c r="A8" t="s">
        <v>96</v>
      </c>
      <c r="B8" s="75">
        <f>1-B5/B4</f>
        <v>7.2115384615384692E-2</v>
      </c>
      <c r="C8" s="75">
        <f>1-C5/C4</f>
        <v>0.61766267926085638</v>
      </c>
      <c r="D8" s="75"/>
      <c r="E8" s="75">
        <f>1-E5/E4</f>
        <v>0.43351505095994303</v>
      </c>
    </row>
    <row r="9" spans="1:7" x14ac:dyDescent="0.25">
      <c r="A9" t="s">
        <v>97</v>
      </c>
      <c r="B9" s="75">
        <f>(B8+C8+E8)/3</f>
        <v>0.37443103827872798</v>
      </c>
    </row>
    <row r="11" spans="1:7" x14ac:dyDescent="0.25">
      <c r="B11" s="75"/>
    </row>
    <row r="12" spans="1:7" x14ac:dyDescent="0.25">
      <c r="A12" t="s">
        <v>100</v>
      </c>
    </row>
    <row r="13" spans="1:7" x14ac:dyDescent="0.25">
      <c r="A13" t="s">
        <v>101</v>
      </c>
      <c r="B13" s="76">
        <f>'EE2018'!E11+'Sankey2050 (GWh original)'!C22</f>
        <v>223863</v>
      </c>
      <c r="C13" t="s">
        <v>55</v>
      </c>
    </row>
    <row r="14" spans="1:7" x14ac:dyDescent="0.25">
      <c r="A14" t="s">
        <v>19</v>
      </c>
      <c r="B14" s="54">
        <f>'Sankey2050 (GWh original)'!L30+'Sankey2050 (GWh original)'!L31+'Sankey2050 (GWh original)'!L32+'Sankey2050 (GWh original)'!L34+'Sankey2050 (GWh original)'!F48+'Sankey2050 (GWh original)'!F49+'Sankey2050 (GWh original)'!F112+'Sankey2050 (GWh original)'!F125+'Sankey2050 (GWh original)'!F79</f>
        <v>33867.180567410709</v>
      </c>
      <c r="C14" t="s">
        <v>55</v>
      </c>
    </row>
    <row r="15" spans="1:7" x14ac:dyDescent="0.25">
      <c r="A15" t="s">
        <v>102</v>
      </c>
      <c r="B15" s="54">
        <f>B13-B14</f>
        <v>189995.81943258928</v>
      </c>
      <c r="C15" t="s">
        <v>55</v>
      </c>
      <c r="D15" s="87">
        <f>1-(B16/B15)</f>
        <v>1.0013309406357029E-3</v>
      </c>
      <c r="E15" s="1" t="s">
        <v>93</v>
      </c>
    </row>
    <row r="16" spans="1:7" x14ac:dyDescent="0.25">
      <c r="A16" t="s">
        <v>71</v>
      </c>
      <c r="B16" s="54">
        <f>B5+C5+D5+E5</f>
        <v>189805.57074</v>
      </c>
      <c r="C16" t="s">
        <v>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0" sqref="B10"/>
    </sheetView>
  </sheetViews>
  <sheetFormatPr baseColWidth="10" defaultRowHeight="15" x14ac:dyDescent="0.25"/>
  <cols>
    <col min="1" max="1" width="30.5703125" bestFit="1" customWidth="1"/>
    <col min="2" max="2" width="11.5703125" bestFit="1" customWidth="1"/>
    <col min="3" max="3" width="13" bestFit="1" customWidth="1"/>
    <col min="4" max="4" width="16.28515625" bestFit="1" customWidth="1"/>
    <col min="257" max="257" width="30.5703125" bestFit="1" customWidth="1"/>
    <col min="258" max="258" width="11.5703125" bestFit="1" customWidth="1"/>
    <col min="259" max="259" width="13" bestFit="1" customWidth="1"/>
    <col min="260" max="260" width="16.28515625" bestFit="1" customWidth="1"/>
    <col min="513" max="513" width="30.5703125" bestFit="1" customWidth="1"/>
    <col min="514" max="514" width="11.5703125" bestFit="1" customWidth="1"/>
    <col min="515" max="515" width="13" bestFit="1" customWidth="1"/>
    <col min="516" max="516" width="16.28515625" bestFit="1" customWidth="1"/>
    <col min="769" max="769" width="30.5703125" bestFit="1" customWidth="1"/>
    <col min="770" max="770" width="11.5703125" bestFit="1" customWidth="1"/>
    <col min="771" max="771" width="13" bestFit="1" customWidth="1"/>
    <col min="772" max="772" width="16.28515625" bestFit="1" customWidth="1"/>
    <col min="1025" max="1025" width="30.5703125" bestFit="1" customWidth="1"/>
    <col min="1026" max="1026" width="11.5703125" bestFit="1" customWidth="1"/>
    <col min="1027" max="1027" width="13" bestFit="1" customWidth="1"/>
    <col min="1028" max="1028" width="16.28515625" bestFit="1" customWidth="1"/>
    <col min="1281" max="1281" width="30.5703125" bestFit="1" customWidth="1"/>
    <col min="1282" max="1282" width="11.5703125" bestFit="1" customWidth="1"/>
    <col min="1283" max="1283" width="13" bestFit="1" customWidth="1"/>
    <col min="1284" max="1284" width="16.28515625" bestFit="1" customWidth="1"/>
    <col min="1537" max="1537" width="30.5703125" bestFit="1" customWidth="1"/>
    <col min="1538" max="1538" width="11.5703125" bestFit="1" customWidth="1"/>
    <col min="1539" max="1539" width="13" bestFit="1" customWidth="1"/>
    <col min="1540" max="1540" width="16.28515625" bestFit="1" customWidth="1"/>
    <col min="1793" max="1793" width="30.5703125" bestFit="1" customWidth="1"/>
    <col min="1794" max="1794" width="11.5703125" bestFit="1" customWidth="1"/>
    <col min="1795" max="1795" width="13" bestFit="1" customWidth="1"/>
    <col min="1796" max="1796" width="16.28515625" bestFit="1" customWidth="1"/>
    <col min="2049" max="2049" width="30.5703125" bestFit="1" customWidth="1"/>
    <col min="2050" max="2050" width="11.5703125" bestFit="1" customWidth="1"/>
    <col min="2051" max="2051" width="13" bestFit="1" customWidth="1"/>
    <col min="2052" max="2052" width="16.28515625" bestFit="1" customWidth="1"/>
    <col min="2305" max="2305" width="30.5703125" bestFit="1" customWidth="1"/>
    <col min="2306" max="2306" width="11.5703125" bestFit="1" customWidth="1"/>
    <col min="2307" max="2307" width="13" bestFit="1" customWidth="1"/>
    <col min="2308" max="2308" width="16.28515625" bestFit="1" customWidth="1"/>
    <col min="2561" max="2561" width="30.5703125" bestFit="1" customWidth="1"/>
    <col min="2562" max="2562" width="11.5703125" bestFit="1" customWidth="1"/>
    <col min="2563" max="2563" width="13" bestFit="1" customWidth="1"/>
    <col min="2564" max="2564" width="16.28515625" bestFit="1" customWidth="1"/>
    <col min="2817" max="2817" width="30.5703125" bestFit="1" customWidth="1"/>
    <col min="2818" max="2818" width="11.5703125" bestFit="1" customWidth="1"/>
    <col min="2819" max="2819" width="13" bestFit="1" customWidth="1"/>
    <col min="2820" max="2820" width="16.28515625" bestFit="1" customWidth="1"/>
    <col min="3073" max="3073" width="30.5703125" bestFit="1" customWidth="1"/>
    <col min="3074" max="3074" width="11.5703125" bestFit="1" customWidth="1"/>
    <col min="3075" max="3075" width="13" bestFit="1" customWidth="1"/>
    <col min="3076" max="3076" width="16.28515625" bestFit="1" customWidth="1"/>
    <col min="3329" max="3329" width="30.5703125" bestFit="1" customWidth="1"/>
    <col min="3330" max="3330" width="11.5703125" bestFit="1" customWidth="1"/>
    <col min="3331" max="3331" width="13" bestFit="1" customWidth="1"/>
    <col min="3332" max="3332" width="16.28515625" bestFit="1" customWidth="1"/>
    <col min="3585" max="3585" width="30.5703125" bestFit="1" customWidth="1"/>
    <col min="3586" max="3586" width="11.5703125" bestFit="1" customWidth="1"/>
    <col min="3587" max="3587" width="13" bestFit="1" customWidth="1"/>
    <col min="3588" max="3588" width="16.28515625" bestFit="1" customWidth="1"/>
    <col min="3841" max="3841" width="30.5703125" bestFit="1" customWidth="1"/>
    <col min="3842" max="3842" width="11.5703125" bestFit="1" customWidth="1"/>
    <col min="3843" max="3843" width="13" bestFit="1" customWidth="1"/>
    <col min="3844" max="3844" width="16.28515625" bestFit="1" customWidth="1"/>
    <col min="4097" max="4097" width="30.5703125" bestFit="1" customWidth="1"/>
    <col min="4098" max="4098" width="11.5703125" bestFit="1" customWidth="1"/>
    <col min="4099" max="4099" width="13" bestFit="1" customWidth="1"/>
    <col min="4100" max="4100" width="16.28515625" bestFit="1" customWidth="1"/>
    <col min="4353" max="4353" width="30.5703125" bestFit="1" customWidth="1"/>
    <col min="4354" max="4354" width="11.5703125" bestFit="1" customWidth="1"/>
    <col min="4355" max="4355" width="13" bestFit="1" customWidth="1"/>
    <col min="4356" max="4356" width="16.28515625" bestFit="1" customWidth="1"/>
    <col min="4609" max="4609" width="30.5703125" bestFit="1" customWidth="1"/>
    <col min="4610" max="4610" width="11.5703125" bestFit="1" customWidth="1"/>
    <col min="4611" max="4611" width="13" bestFit="1" customWidth="1"/>
    <col min="4612" max="4612" width="16.28515625" bestFit="1" customWidth="1"/>
    <col min="4865" max="4865" width="30.5703125" bestFit="1" customWidth="1"/>
    <col min="4866" max="4866" width="11.5703125" bestFit="1" customWidth="1"/>
    <col min="4867" max="4867" width="13" bestFit="1" customWidth="1"/>
    <col min="4868" max="4868" width="16.28515625" bestFit="1" customWidth="1"/>
    <col min="5121" max="5121" width="30.5703125" bestFit="1" customWidth="1"/>
    <col min="5122" max="5122" width="11.5703125" bestFit="1" customWidth="1"/>
    <col min="5123" max="5123" width="13" bestFit="1" customWidth="1"/>
    <col min="5124" max="5124" width="16.28515625" bestFit="1" customWidth="1"/>
    <col min="5377" max="5377" width="30.5703125" bestFit="1" customWidth="1"/>
    <col min="5378" max="5378" width="11.5703125" bestFit="1" customWidth="1"/>
    <col min="5379" max="5379" width="13" bestFit="1" customWidth="1"/>
    <col min="5380" max="5380" width="16.28515625" bestFit="1" customWidth="1"/>
    <col min="5633" max="5633" width="30.5703125" bestFit="1" customWidth="1"/>
    <col min="5634" max="5634" width="11.5703125" bestFit="1" customWidth="1"/>
    <col min="5635" max="5635" width="13" bestFit="1" customWidth="1"/>
    <col min="5636" max="5636" width="16.28515625" bestFit="1" customWidth="1"/>
    <col min="5889" max="5889" width="30.5703125" bestFit="1" customWidth="1"/>
    <col min="5890" max="5890" width="11.5703125" bestFit="1" customWidth="1"/>
    <col min="5891" max="5891" width="13" bestFit="1" customWidth="1"/>
    <col min="5892" max="5892" width="16.28515625" bestFit="1" customWidth="1"/>
    <col min="6145" max="6145" width="30.5703125" bestFit="1" customWidth="1"/>
    <col min="6146" max="6146" width="11.5703125" bestFit="1" customWidth="1"/>
    <col min="6147" max="6147" width="13" bestFit="1" customWidth="1"/>
    <col min="6148" max="6148" width="16.28515625" bestFit="1" customWidth="1"/>
    <col min="6401" max="6401" width="30.5703125" bestFit="1" customWidth="1"/>
    <col min="6402" max="6402" width="11.5703125" bestFit="1" customWidth="1"/>
    <col min="6403" max="6403" width="13" bestFit="1" customWidth="1"/>
    <col min="6404" max="6404" width="16.28515625" bestFit="1" customWidth="1"/>
    <col min="6657" max="6657" width="30.5703125" bestFit="1" customWidth="1"/>
    <col min="6658" max="6658" width="11.5703125" bestFit="1" customWidth="1"/>
    <col min="6659" max="6659" width="13" bestFit="1" customWidth="1"/>
    <col min="6660" max="6660" width="16.28515625" bestFit="1" customWidth="1"/>
    <col min="6913" max="6913" width="30.5703125" bestFit="1" customWidth="1"/>
    <col min="6914" max="6914" width="11.5703125" bestFit="1" customWidth="1"/>
    <col min="6915" max="6915" width="13" bestFit="1" customWidth="1"/>
    <col min="6916" max="6916" width="16.28515625" bestFit="1" customWidth="1"/>
    <col min="7169" max="7169" width="30.5703125" bestFit="1" customWidth="1"/>
    <col min="7170" max="7170" width="11.5703125" bestFit="1" customWidth="1"/>
    <col min="7171" max="7171" width="13" bestFit="1" customWidth="1"/>
    <col min="7172" max="7172" width="16.28515625" bestFit="1" customWidth="1"/>
    <col min="7425" max="7425" width="30.5703125" bestFit="1" customWidth="1"/>
    <col min="7426" max="7426" width="11.5703125" bestFit="1" customWidth="1"/>
    <col min="7427" max="7427" width="13" bestFit="1" customWidth="1"/>
    <col min="7428" max="7428" width="16.28515625" bestFit="1" customWidth="1"/>
    <col min="7681" max="7681" width="30.5703125" bestFit="1" customWidth="1"/>
    <col min="7682" max="7682" width="11.5703125" bestFit="1" customWidth="1"/>
    <col min="7683" max="7683" width="13" bestFit="1" customWidth="1"/>
    <col min="7684" max="7684" width="16.28515625" bestFit="1" customWidth="1"/>
    <col min="7937" max="7937" width="30.5703125" bestFit="1" customWidth="1"/>
    <col min="7938" max="7938" width="11.5703125" bestFit="1" customWidth="1"/>
    <col min="7939" max="7939" width="13" bestFit="1" customWidth="1"/>
    <col min="7940" max="7940" width="16.28515625" bestFit="1" customWidth="1"/>
    <col min="8193" max="8193" width="30.5703125" bestFit="1" customWidth="1"/>
    <col min="8194" max="8194" width="11.5703125" bestFit="1" customWidth="1"/>
    <col min="8195" max="8195" width="13" bestFit="1" customWidth="1"/>
    <col min="8196" max="8196" width="16.28515625" bestFit="1" customWidth="1"/>
    <col min="8449" max="8449" width="30.5703125" bestFit="1" customWidth="1"/>
    <col min="8450" max="8450" width="11.5703125" bestFit="1" customWidth="1"/>
    <col min="8451" max="8451" width="13" bestFit="1" customWidth="1"/>
    <col min="8452" max="8452" width="16.28515625" bestFit="1" customWidth="1"/>
    <col min="8705" max="8705" width="30.5703125" bestFit="1" customWidth="1"/>
    <col min="8706" max="8706" width="11.5703125" bestFit="1" customWidth="1"/>
    <col min="8707" max="8707" width="13" bestFit="1" customWidth="1"/>
    <col min="8708" max="8708" width="16.28515625" bestFit="1" customWidth="1"/>
    <col min="8961" max="8961" width="30.5703125" bestFit="1" customWidth="1"/>
    <col min="8962" max="8962" width="11.5703125" bestFit="1" customWidth="1"/>
    <col min="8963" max="8963" width="13" bestFit="1" customWidth="1"/>
    <col min="8964" max="8964" width="16.28515625" bestFit="1" customWidth="1"/>
    <col min="9217" max="9217" width="30.5703125" bestFit="1" customWidth="1"/>
    <col min="9218" max="9218" width="11.5703125" bestFit="1" customWidth="1"/>
    <col min="9219" max="9219" width="13" bestFit="1" customWidth="1"/>
    <col min="9220" max="9220" width="16.28515625" bestFit="1" customWidth="1"/>
    <col min="9473" max="9473" width="30.5703125" bestFit="1" customWidth="1"/>
    <col min="9474" max="9474" width="11.5703125" bestFit="1" customWidth="1"/>
    <col min="9475" max="9475" width="13" bestFit="1" customWidth="1"/>
    <col min="9476" max="9476" width="16.28515625" bestFit="1" customWidth="1"/>
    <col min="9729" max="9729" width="30.5703125" bestFit="1" customWidth="1"/>
    <col min="9730" max="9730" width="11.5703125" bestFit="1" customWidth="1"/>
    <col min="9731" max="9731" width="13" bestFit="1" customWidth="1"/>
    <col min="9732" max="9732" width="16.28515625" bestFit="1" customWidth="1"/>
    <col min="9985" max="9985" width="30.5703125" bestFit="1" customWidth="1"/>
    <col min="9986" max="9986" width="11.5703125" bestFit="1" customWidth="1"/>
    <col min="9987" max="9987" width="13" bestFit="1" customWidth="1"/>
    <col min="9988" max="9988" width="16.28515625" bestFit="1" customWidth="1"/>
    <col min="10241" max="10241" width="30.5703125" bestFit="1" customWidth="1"/>
    <col min="10242" max="10242" width="11.5703125" bestFit="1" customWidth="1"/>
    <col min="10243" max="10243" width="13" bestFit="1" customWidth="1"/>
    <col min="10244" max="10244" width="16.28515625" bestFit="1" customWidth="1"/>
    <col min="10497" max="10497" width="30.5703125" bestFit="1" customWidth="1"/>
    <col min="10498" max="10498" width="11.5703125" bestFit="1" customWidth="1"/>
    <col min="10499" max="10499" width="13" bestFit="1" customWidth="1"/>
    <col min="10500" max="10500" width="16.28515625" bestFit="1" customWidth="1"/>
    <col min="10753" max="10753" width="30.5703125" bestFit="1" customWidth="1"/>
    <col min="10754" max="10754" width="11.5703125" bestFit="1" customWidth="1"/>
    <col min="10755" max="10755" width="13" bestFit="1" customWidth="1"/>
    <col min="10756" max="10756" width="16.28515625" bestFit="1" customWidth="1"/>
    <col min="11009" max="11009" width="30.5703125" bestFit="1" customWidth="1"/>
    <col min="11010" max="11010" width="11.5703125" bestFit="1" customWidth="1"/>
    <col min="11011" max="11011" width="13" bestFit="1" customWidth="1"/>
    <col min="11012" max="11012" width="16.28515625" bestFit="1" customWidth="1"/>
    <col min="11265" max="11265" width="30.5703125" bestFit="1" customWidth="1"/>
    <col min="11266" max="11266" width="11.5703125" bestFit="1" customWidth="1"/>
    <col min="11267" max="11267" width="13" bestFit="1" customWidth="1"/>
    <col min="11268" max="11268" width="16.28515625" bestFit="1" customWidth="1"/>
    <col min="11521" max="11521" width="30.5703125" bestFit="1" customWidth="1"/>
    <col min="11522" max="11522" width="11.5703125" bestFit="1" customWidth="1"/>
    <col min="11523" max="11523" width="13" bestFit="1" customWidth="1"/>
    <col min="11524" max="11524" width="16.28515625" bestFit="1" customWidth="1"/>
    <col min="11777" max="11777" width="30.5703125" bestFit="1" customWidth="1"/>
    <col min="11778" max="11778" width="11.5703125" bestFit="1" customWidth="1"/>
    <col min="11779" max="11779" width="13" bestFit="1" customWidth="1"/>
    <col min="11780" max="11780" width="16.28515625" bestFit="1" customWidth="1"/>
    <col min="12033" max="12033" width="30.5703125" bestFit="1" customWidth="1"/>
    <col min="12034" max="12034" width="11.5703125" bestFit="1" customWidth="1"/>
    <col min="12035" max="12035" width="13" bestFit="1" customWidth="1"/>
    <col min="12036" max="12036" width="16.28515625" bestFit="1" customWidth="1"/>
    <col min="12289" max="12289" width="30.5703125" bestFit="1" customWidth="1"/>
    <col min="12290" max="12290" width="11.5703125" bestFit="1" customWidth="1"/>
    <col min="12291" max="12291" width="13" bestFit="1" customWidth="1"/>
    <col min="12292" max="12292" width="16.28515625" bestFit="1" customWidth="1"/>
    <col min="12545" max="12545" width="30.5703125" bestFit="1" customWidth="1"/>
    <col min="12546" max="12546" width="11.5703125" bestFit="1" customWidth="1"/>
    <col min="12547" max="12547" width="13" bestFit="1" customWidth="1"/>
    <col min="12548" max="12548" width="16.28515625" bestFit="1" customWidth="1"/>
    <col min="12801" max="12801" width="30.5703125" bestFit="1" customWidth="1"/>
    <col min="12802" max="12802" width="11.5703125" bestFit="1" customWidth="1"/>
    <col min="12803" max="12803" width="13" bestFit="1" customWidth="1"/>
    <col min="12804" max="12804" width="16.28515625" bestFit="1" customWidth="1"/>
    <col min="13057" max="13057" width="30.5703125" bestFit="1" customWidth="1"/>
    <col min="13058" max="13058" width="11.5703125" bestFit="1" customWidth="1"/>
    <col min="13059" max="13059" width="13" bestFit="1" customWidth="1"/>
    <col min="13060" max="13060" width="16.28515625" bestFit="1" customWidth="1"/>
    <col min="13313" max="13313" width="30.5703125" bestFit="1" customWidth="1"/>
    <col min="13314" max="13314" width="11.5703125" bestFit="1" customWidth="1"/>
    <col min="13315" max="13315" width="13" bestFit="1" customWidth="1"/>
    <col min="13316" max="13316" width="16.28515625" bestFit="1" customWidth="1"/>
    <col min="13569" max="13569" width="30.5703125" bestFit="1" customWidth="1"/>
    <col min="13570" max="13570" width="11.5703125" bestFit="1" customWidth="1"/>
    <col min="13571" max="13571" width="13" bestFit="1" customWidth="1"/>
    <col min="13572" max="13572" width="16.28515625" bestFit="1" customWidth="1"/>
    <col min="13825" max="13825" width="30.5703125" bestFit="1" customWidth="1"/>
    <col min="13826" max="13826" width="11.5703125" bestFit="1" customWidth="1"/>
    <col min="13827" max="13827" width="13" bestFit="1" customWidth="1"/>
    <col min="13828" max="13828" width="16.28515625" bestFit="1" customWidth="1"/>
    <col min="14081" max="14081" width="30.5703125" bestFit="1" customWidth="1"/>
    <col min="14082" max="14082" width="11.5703125" bestFit="1" customWidth="1"/>
    <col min="14083" max="14083" width="13" bestFit="1" customWidth="1"/>
    <col min="14084" max="14084" width="16.28515625" bestFit="1" customWidth="1"/>
    <col min="14337" max="14337" width="30.5703125" bestFit="1" customWidth="1"/>
    <col min="14338" max="14338" width="11.5703125" bestFit="1" customWidth="1"/>
    <col min="14339" max="14339" width="13" bestFit="1" customWidth="1"/>
    <col min="14340" max="14340" width="16.28515625" bestFit="1" customWidth="1"/>
    <col min="14593" max="14593" width="30.5703125" bestFit="1" customWidth="1"/>
    <col min="14594" max="14594" width="11.5703125" bestFit="1" customWidth="1"/>
    <col min="14595" max="14595" width="13" bestFit="1" customWidth="1"/>
    <col min="14596" max="14596" width="16.28515625" bestFit="1" customWidth="1"/>
    <col min="14849" max="14849" width="30.5703125" bestFit="1" customWidth="1"/>
    <col min="14850" max="14850" width="11.5703125" bestFit="1" customWidth="1"/>
    <col min="14851" max="14851" width="13" bestFit="1" customWidth="1"/>
    <col min="14852" max="14852" width="16.28515625" bestFit="1" customWidth="1"/>
    <col min="15105" max="15105" width="30.5703125" bestFit="1" customWidth="1"/>
    <col min="15106" max="15106" width="11.5703125" bestFit="1" customWidth="1"/>
    <col min="15107" max="15107" width="13" bestFit="1" customWidth="1"/>
    <col min="15108" max="15108" width="16.28515625" bestFit="1" customWidth="1"/>
    <col min="15361" max="15361" width="30.5703125" bestFit="1" customWidth="1"/>
    <col min="15362" max="15362" width="11.5703125" bestFit="1" customWidth="1"/>
    <col min="15363" max="15363" width="13" bestFit="1" customWidth="1"/>
    <col min="15364" max="15364" width="16.28515625" bestFit="1" customWidth="1"/>
    <col min="15617" max="15617" width="30.5703125" bestFit="1" customWidth="1"/>
    <col min="15618" max="15618" width="11.5703125" bestFit="1" customWidth="1"/>
    <col min="15619" max="15619" width="13" bestFit="1" customWidth="1"/>
    <col min="15620" max="15620" width="16.28515625" bestFit="1" customWidth="1"/>
    <col min="15873" max="15873" width="30.5703125" bestFit="1" customWidth="1"/>
    <col min="15874" max="15874" width="11.5703125" bestFit="1" customWidth="1"/>
    <col min="15875" max="15875" width="13" bestFit="1" customWidth="1"/>
    <col min="15876" max="15876" width="16.28515625" bestFit="1" customWidth="1"/>
    <col min="16129" max="16129" width="30.5703125" bestFit="1" customWidth="1"/>
    <col min="16130" max="16130" width="11.5703125" bestFit="1" customWidth="1"/>
    <col min="16131" max="16131" width="13" bestFit="1" customWidth="1"/>
    <col min="16132" max="16132" width="16.28515625" bestFit="1" customWidth="1"/>
  </cols>
  <sheetData>
    <row r="1" spans="1:5" ht="15.75" x14ac:dyDescent="0.25">
      <c r="A1" s="81" t="s">
        <v>98</v>
      </c>
    </row>
    <row r="2" spans="1:5" x14ac:dyDescent="0.25">
      <c r="B2" s="3" t="s">
        <v>92</v>
      </c>
      <c r="C2" s="84" t="s">
        <v>55</v>
      </c>
      <c r="D2" t="s">
        <v>99</v>
      </c>
    </row>
    <row r="3" spans="1:5" x14ac:dyDescent="0.25">
      <c r="A3" s="3" t="s">
        <v>5</v>
      </c>
      <c r="B3" s="74">
        <f>236.5+30.9</f>
        <v>267.39999999999998</v>
      </c>
      <c r="C3" s="85">
        <f>B3*277.7778</f>
        <v>74277.783719999992</v>
      </c>
      <c r="D3" s="54">
        <f>'Sankey2050 (GWh original)'!C19-'EE2018'!C3</f>
        <v>7112.2162800000078</v>
      </c>
    </row>
    <row r="4" spans="1:5" x14ac:dyDescent="0.25">
      <c r="A4" s="3" t="s">
        <v>0</v>
      </c>
      <c r="B4" s="74">
        <v>139.30000000000001</v>
      </c>
      <c r="C4" s="85">
        <f>B4*277.7778</f>
        <v>38694.447540000008</v>
      </c>
      <c r="D4" s="54">
        <f>'Sankey2050 (GWh original)'!C20-'EE2018'!C4</f>
        <v>10472.552459999992</v>
      </c>
    </row>
    <row r="5" spans="1:5" x14ac:dyDescent="0.25">
      <c r="A5" s="3" t="s">
        <v>2</v>
      </c>
      <c r="B5" s="74">
        <v>22.4</v>
      </c>
      <c r="C5" s="85">
        <f>B5*277.7778</f>
        <v>6222.2227199999998</v>
      </c>
      <c r="D5" s="54">
        <f>'Sankey2050 (GWh original)'!C21-'EE2018'!C5</f>
        <v>8194.7772800000002</v>
      </c>
    </row>
    <row r="6" spans="1:5" x14ac:dyDescent="0.25">
      <c r="A6" s="3" t="s">
        <v>6</v>
      </c>
      <c r="B6" s="74">
        <v>0</v>
      </c>
      <c r="C6" s="85">
        <f>B6*277.7778</f>
        <v>0</v>
      </c>
    </row>
    <row r="7" spans="1:5" x14ac:dyDescent="0.25">
      <c r="A7" s="3"/>
      <c r="B7" s="74"/>
      <c r="C7" s="85"/>
    </row>
    <row r="8" spans="1:5" x14ac:dyDescent="0.25">
      <c r="A8" s="3" t="s">
        <v>1</v>
      </c>
      <c r="B8" s="74">
        <v>4.5</v>
      </c>
      <c r="C8" s="85">
        <f>B8*277.7778</f>
        <v>1250.0001</v>
      </c>
      <c r="D8" s="54">
        <f>'Sankey2050 (GWh original)'!C24-'EE2018'!C8</f>
        <v>18305.999899999999</v>
      </c>
    </row>
    <row r="9" spans="1:5" x14ac:dyDescent="0.25">
      <c r="A9" s="3" t="s">
        <v>3</v>
      </c>
      <c r="B9" s="74">
        <v>0</v>
      </c>
      <c r="C9" s="85">
        <f>B9*277.7778</f>
        <v>0</v>
      </c>
      <c r="D9" s="54">
        <f>'Sankey2050 (GWh original)'!C25-'EE2018'!C9</f>
        <v>20833</v>
      </c>
    </row>
    <row r="10" spans="1:5" x14ac:dyDescent="0.25">
      <c r="A10" s="3" t="s">
        <v>4</v>
      </c>
      <c r="B10" s="74">
        <v>18.2</v>
      </c>
      <c r="C10" s="85">
        <f>B10*277.7778</f>
        <v>5055.5559599999997</v>
      </c>
      <c r="D10" s="54">
        <f>'Sankey2050 (GWh original)'!C26-'EE2018'!C10</f>
        <v>13833.44404</v>
      </c>
    </row>
    <row r="11" spans="1:5" x14ac:dyDescent="0.25">
      <c r="A11" s="82" t="s">
        <v>13</v>
      </c>
      <c r="B11" s="83"/>
      <c r="C11" s="86">
        <f>SUM(C3:C10)</f>
        <v>125500.01004000001</v>
      </c>
      <c r="D11" s="54">
        <f>SUM(D3:D10)</f>
        <v>78751.989960000006</v>
      </c>
      <c r="E11" s="10">
        <f>SUM(C11:D11)</f>
        <v>204252</v>
      </c>
    </row>
    <row r="14" spans="1:5" x14ac:dyDescent="0.25">
      <c r="A14" t="s">
        <v>103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34" sqref="B34"/>
    </sheetView>
  </sheetViews>
  <sheetFormatPr baseColWidth="10" defaultRowHeight="15" x14ac:dyDescent="0.25"/>
  <cols>
    <col min="1" max="1" width="51" customWidth="1"/>
    <col min="2" max="2" width="11.42578125" customWidth="1"/>
    <col min="3" max="4" width="12" bestFit="1" customWidth="1"/>
    <col min="257" max="257" width="51" customWidth="1"/>
    <col min="258" max="258" width="11.42578125" customWidth="1"/>
    <col min="259" max="260" width="12" bestFit="1" customWidth="1"/>
    <col min="513" max="513" width="51" customWidth="1"/>
    <col min="514" max="514" width="11.42578125" customWidth="1"/>
    <col min="515" max="516" width="12" bestFit="1" customWidth="1"/>
    <col min="769" max="769" width="51" customWidth="1"/>
    <col min="770" max="770" width="11.42578125" customWidth="1"/>
    <col min="771" max="772" width="12" bestFit="1" customWidth="1"/>
    <col min="1025" max="1025" width="51" customWidth="1"/>
    <col min="1026" max="1026" width="11.42578125" customWidth="1"/>
    <col min="1027" max="1028" width="12" bestFit="1" customWidth="1"/>
    <col min="1281" max="1281" width="51" customWidth="1"/>
    <col min="1282" max="1282" width="11.42578125" customWidth="1"/>
    <col min="1283" max="1284" width="12" bestFit="1" customWidth="1"/>
    <col min="1537" max="1537" width="51" customWidth="1"/>
    <col min="1538" max="1538" width="11.42578125" customWidth="1"/>
    <col min="1539" max="1540" width="12" bestFit="1" customWidth="1"/>
    <col min="1793" max="1793" width="51" customWidth="1"/>
    <col min="1794" max="1794" width="11.42578125" customWidth="1"/>
    <col min="1795" max="1796" width="12" bestFit="1" customWidth="1"/>
    <col min="2049" max="2049" width="51" customWidth="1"/>
    <col min="2050" max="2050" width="11.42578125" customWidth="1"/>
    <col min="2051" max="2052" width="12" bestFit="1" customWidth="1"/>
    <col min="2305" max="2305" width="51" customWidth="1"/>
    <col min="2306" max="2306" width="11.42578125" customWidth="1"/>
    <col min="2307" max="2308" width="12" bestFit="1" customWidth="1"/>
    <col min="2561" max="2561" width="51" customWidth="1"/>
    <col min="2562" max="2562" width="11.42578125" customWidth="1"/>
    <col min="2563" max="2564" width="12" bestFit="1" customWidth="1"/>
    <col min="2817" max="2817" width="51" customWidth="1"/>
    <col min="2818" max="2818" width="11.42578125" customWidth="1"/>
    <col min="2819" max="2820" width="12" bestFit="1" customWidth="1"/>
    <col min="3073" max="3073" width="51" customWidth="1"/>
    <col min="3074" max="3074" width="11.42578125" customWidth="1"/>
    <col min="3075" max="3076" width="12" bestFit="1" customWidth="1"/>
    <col min="3329" max="3329" width="51" customWidth="1"/>
    <col min="3330" max="3330" width="11.42578125" customWidth="1"/>
    <col min="3331" max="3332" width="12" bestFit="1" customWidth="1"/>
    <col min="3585" max="3585" width="51" customWidth="1"/>
    <col min="3586" max="3586" width="11.42578125" customWidth="1"/>
    <col min="3587" max="3588" width="12" bestFit="1" customWidth="1"/>
    <col min="3841" max="3841" width="51" customWidth="1"/>
    <col min="3842" max="3842" width="11.42578125" customWidth="1"/>
    <col min="3843" max="3844" width="12" bestFit="1" customWidth="1"/>
    <col min="4097" max="4097" width="51" customWidth="1"/>
    <col min="4098" max="4098" width="11.42578125" customWidth="1"/>
    <col min="4099" max="4100" width="12" bestFit="1" customWidth="1"/>
    <col min="4353" max="4353" width="51" customWidth="1"/>
    <col min="4354" max="4354" width="11.42578125" customWidth="1"/>
    <col min="4355" max="4356" width="12" bestFit="1" customWidth="1"/>
    <col min="4609" max="4609" width="51" customWidth="1"/>
    <col min="4610" max="4610" width="11.42578125" customWidth="1"/>
    <col min="4611" max="4612" width="12" bestFit="1" customWidth="1"/>
    <col min="4865" max="4865" width="51" customWidth="1"/>
    <col min="4866" max="4866" width="11.42578125" customWidth="1"/>
    <col min="4867" max="4868" width="12" bestFit="1" customWidth="1"/>
    <col min="5121" max="5121" width="51" customWidth="1"/>
    <col min="5122" max="5122" width="11.42578125" customWidth="1"/>
    <col min="5123" max="5124" width="12" bestFit="1" customWidth="1"/>
    <col min="5377" max="5377" width="51" customWidth="1"/>
    <col min="5378" max="5378" width="11.42578125" customWidth="1"/>
    <col min="5379" max="5380" width="12" bestFit="1" customWidth="1"/>
    <col min="5633" max="5633" width="51" customWidth="1"/>
    <col min="5634" max="5634" width="11.42578125" customWidth="1"/>
    <col min="5635" max="5636" width="12" bestFit="1" customWidth="1"/>
    <col min="5889" max="5889" width="51" customWidth="1"/>
    <col min="5890" max="5890" width="11.42578125" customWidth="1"/>
    <col min="5891" max="5892" width="12" bestFit="1" customWidth="1"/>
    <col min="6145" max="6145" width="51" customWidth="1"/>
    <col min="6146" max="6146" width="11.42578125" customWidth="1"/>
    <col min="6147" max="6148" width="12" bestFit="1" customWidth="1"/>
    <col min="6401" max="6401" width="51" customWidth="1"/>
    <col min="6402" max="6402" width="11.42578125" customWidth="1"/>
    <col min="6403" max="6404" width="12" bestFit="1" customWidth="1"/>
    <col min="6657" max="6657" width="51" customWidth="1"/>
    <col min="6658" max="6658" width="11.42578125" customWidth="1"/>
    <col min="6659" max="6660" width="12" bestFit="1" customWidth="1"/>
    <col min="6913" max="6913" width="51" customWidth="1"/>
    <col min="6914" max="6914" width="11.42578125" customWidth="1"/>
    <col min="6915" max="6916" width="12" bestFit="1" customWidth="1"/>
    <col min="7169" max="7169" width="51" customWidth="1"/>
    <col min="7170" max="7170" width="11.42578125" customWidth="1"/>
    <col min="7171" max="7172" width="12" bestFit="1" customWidth="1"/>
    <col min="7425" max="7425" width="51" customWidth="1"/>
    <col min="7426" max="7426" width="11.42578125" customWidth="1"/>
    <col min="7427" max="7428" width="12" bestFit="1" customWidth="1"/>
    <col min="7681" max="7681" width="51" customWidth="1"/>
    <col min="7682" max="7682" width="11.42578125" customWidth="1"/>
    <col min="7683" max="7684" width="12" bestFit="1" customWidth="1"/>
    <col min="7937" max="7937" width="51" customWidth="1"/>
    <col min="7938" max="7938" width="11.42578125" customWidth="1"/>
    <col min="7939" max="7940" width="12" bestFit="1" customWidth="1"/>
    <col min="8193" max="8193" width="51" customWidth="1"/>
    <col min="8194" max="8194" width="11.42578125" customWidth="1"/>
    <col min="8195" max="8196" width="12" bestFit="1" customWidth="1"/>
    <col min="8449" max="8449" width="51" customWidth="1"/>
    <col min="8450" max="8450" width="11.42578125" customWidth="1"/>
    <col min="8451" max="8452" width="12" bestFit="1" customWidth="1"/>
    <col min="8705" max="8705" width="51" customWidth="1"/>
    <col min="8706" max="8706" width="11.42578125" customWidth="1"/>
    <col min="8707" max="8708" width="12" bestFit="1" customWidth="1"/>
    <col min="8961" max="8961" width="51" customWidth="1"/>
    <col min="8962" max="8962" width="11.42578125" customWidth="1"/>
    <col min="8963" max="8964" width="12" bestFit="1" customWidth="1"/>
    <col min="9217" max="9217" width="51" customWidth="1"/>
    <col min="9218" max="9218" width="11.42578125" customWidth="1"/>
    <col min="9219" max="9220" width="12" bestFit="1" customWidth="1"/>
    <col min="9473" max="9473" width="51" customWidth="1"/>
    <col min="9474" max="9474" width="11.42578125" customWidth="1"/>
    <col min="9475" max="9476" width="12" bestFit="1" customWidth="1"/>
    <col min="9729" max="9729" width="51" customWidth="1"/>
    <col min="9730" max="9730" width="11.42578125" customWidth="1"/>
    <col min="9731" max="9732" width="12" bestFit="1" customWidth="1"/>
    <col min="9985" max="9985" width="51" customWidth="1"/>
    <col min="9986" max="9986" width="11.42578125" customWidth="1"/>
    <col min="9987" max="9988" width="12" bestFit="1" customWidth="1"/>
    <col min="10241" max="10241" width="51" customWidth="1"/>
    <col min="10242" max="10242" width="11.42578125" customWidth="1"/>
    <col min="10243" max="10244" width="12" bestFit="1" customWidth="1"/>
    <col min="10497" max="10497" width="51" customWidth="1"/>
    <col min="10498" max="10498" width="11.42578125" customWidth="1"/>
    <col min="10499" max="10500" width="12" bestFit="1" customWidth="1"/>
    <col min="10753" max="10753" width="51" customWidth="1"/>
    <col min="10754" max="10754" width="11.42578125" customWidth="1"/>
    <col min="10755" max="10756" width="12" bestFit="1" customWidth="1"/>
    <col min="11009" max="11009" width="51" customWidth="1"/>
    <col min="11010" max="11010" width="11.42578125" customWidth="1"/>
    <col min="11011" max="11012" width="12" bestFit="1" customWidth="1"/>
    <col min="11265" max="11265" width="51" customWidth="1"/>
    <col min="11266" max="11266" width="11.42578125" customWidth="1"/>
    <col min="11267" max="11268" width="12" bestFit="1" customWidth="1"/>
    <col min="11521" max="11521" width="51" customWidth="1"/>
    <col min="11522" max="11522" width="11.42578125" customWidth="1"/>
    <col min="11523" max="11524" width="12" bestFit="1" customWidth="1"/>
    <col min="11777" max="11777" width="51" customWidth="1"/>
    <col min="11778" max="11778" width="11.42578125" customWidth="1"/>
    <col min="11779" max="11780" width="12" bestFit="1" customWidth="1"/>
    <col min="12033" max="12033" width="51" customWidth="1"/>
    <col min="12034" max="12034" width="11.42578125" customWidth="1"/>
    <col min="12035" max="12036" width="12" bestFit="1" customWidth="1"/>
    <col min="12289" max="12289" width="51" customWidth="1"/>
    <col min="12290" max="12290" width="11.42578125" customWidth="1"/>
    <col min="12291" max="12292" width="12" bestFit="1" customWidth="1"/>
    <col min="12545" max="12545" width="51" customWidth="1"/>
    <col min="12546" max="12546" width="11.42578125" customWidth="1"/>
    <col min="12547" max="12548" width="12" bestFit="1" customWidth="1"/>
    <col min="12801" max="12801" width="51" customWidth="1"/>
    <col min="12802" max="12802" width="11.42578125" customWidth="1"/>
    <col min="12803" max="12804" width="12" bestFit="1" customWidth="1"/>
    <col min="13057" max="13057" width="51" customWidth="1"/>
    <col min="13058" max="13058" width="11.42578125" customWidth="1"/>
    <col min="13059" max="13060" width="12" bestFit="1" customWidth="1"/>
    <col min="13313" max="13313" width="51" customWidth="1"/>
    <col min="13314" max="13314" width="11.42578125" customWidth="1"/>
    <col min="13315" max="13316" width="12" bestFit="1" customWidth="1"/>
    <col min="13569" max="13569" width="51" customWidth="1"/>
    <col min="13570" max="13570" width="11.42578125" customWidth="1"/>
    <col min="13571" max="13572" width="12" bestFit="1" customWidth="1"/>
    <col min="13825" max="13825" width="51" customWidth="1"/>
    <col min="13826" max="13826" width="11.42578125" customWidth="1"/>
    <col min="13827" max="13828" width="12" bestFit="1" customWidth="1"/>
    <col min="14081" max="14081" width="51" customWidth="1"/>
    <col min="14082" max="14082" width="11.42578125" customWidth="1"/>
    <col min="14083" max="14084" width="12" bestFit="1" customWidth="1"/>
    <col min="14337" max="14337" width="51" customWidth="1"/>
    <col min="14338" max="14338" width="11.42578125" customWidth="1"/>
    <col min="14339" max="14340" width="12" bestFit="1" customWidth="1"/>
    <col min="14593" max="14593" width="51" customWidth="1"/>
    <col min="14594" max="14594" width="11.42578125" customWidth="1"/>
    <col min="14595" max="14596" width="12" bestFit="1" customWidth="1"/>
    <col min="14849" max="14849" width="51" customWidth="1"/>
    <col min="14850" max="14850" width="11.42578125" customWidth="1"/>
    <col min="14851" max="14852" width="12" bestFit="1" customWidth="1"/>
    <col min="15105" max="15105" width="51" customWidth="1"/>
    <col min="15106" max="15106" width="11.42578125" customWidth="1"/>
    <col min="15107" max="15108" width="12" bestFit="1" customWidth="1"/>
    <col min="15361" max="15361" width="51" customWidth="1"/>
    <col min="15362" max="15362" width="11.42578125" customWidth="1"/>
    <col min="15363" max="15364" width="12" bestFit="1" customWidth="1"/>
    <col min="15617" max="15617" width="51" customWidth="1"/>
    <col min="15618" max="15618" width="11.42578125" customWidth="1"/>
    <col min="15619" max="15620" width="12" bestFit="1" customWidth="1"/>
    <col min="15873" max="15873" width="51" customWidth="1"/>
    <col min="15874" max="15874" width="11.42578125" customWidth="1"/>
    <col min="15875" max="15876" width="12" bestFit="1" customWidth="1"/>
    <col min="16129" max="16129" width="51" customWidth="1"/>
    <col min="16130" max="16130" width="11.42578125" customWidth="1"/>
    <col min="16131" max="16132" width="12" bestFit="1" customWidth="1"/>
  </cols>
  <sheetData>
    <row r="4" spans="1:3" x14ac:dyDescent="0.25">
      <c r="A4" s="62" t="s">
        <v>72</v>
      </c>
      <c r="B4" s="1" t="s">
        <v>91</v>
      </c>
    </row>
    <row r="5" spans="1:3" x14ac:dyDescent="0.25">
      <c r="A5" s="59"/>
      <c r="B5" s="1" t="s">
        <v>92</v>
      </c>
    </row>
    <row r="6" spans="1:3" x14ac:dyDescent="0.25">
      <c r="A6" s="65" t="s">
        <v>73</v>
      </c>
    </row>
    <row r="7" spans="1:3" x14ac:dyDescent="0.25">
      <c r="A7" s="60" t="s">
        <v>74</v>
      </c>
      <c r="B7">
        <v>0</v>
      </c>
    </row>
    <row r="8" spans="1:3" x14ac:dyDescent="0.25">
      <c r="A8" s="60" t="s">
        <v>75</v>
      </c>
      <c r="B8">
        <v>0</v>
      </c>
    </row>
    <row r="9" spans="1:3" x14ac:dyDescent="0.25">
      <c r="A9" s="60" t="s">
        <v>76</v>
      </c>
      <c r="B9">
        <v>0</v>
      </c>
    </row>
    <row r="10" spans="1:3" x14ac:dyDescent="0.25">
      <c r="A10" s="60" t="s">
        <v>77</v>
      </c>
      <c r="B10">
        <v>66</v>
      </c>
      <c r="C10" s="64">
        <f>B10*277.7778</f>
        <v>18333.334800000001</v>
      </c>
    </row>
    <row r="11" spans="1:3" x14ac:dyDescent="0.25">
      <c r="A11" s="60" t="s">
        <v>78</v>
      </c>
      <c r="B11">
        <v>23</v>
      </c>
      <c r="C11" s="64">
        <f t="shared" ref="C11:C32" si="0">B11*277.7778</f>
        <v>6388.8894</v>
      </c>
    </row>
    <row r="12" spans="1:3" x14ac:dyDescent="0.25">
      <c r="A12" s="61" t="s">
        <v>79</v>
      </c>
      <c r="B12" s="1">
        <v>89</v>
      </c>
      <c r="C12" s="80">
        <f>SUM(C10:C11)</f>
        <v>24722.224200000001</v>
      </c>
    </row>
    <row r="13" spans="1:3" x14ac:dyDescent="0.25">
      <c r="A13" s="60" t="s">
        <v>80</v>
      </c>
      <c r="B13">
        <v>68</v>
      </c>
      <c r="C13" s="64">
        <f>B13*277.7778</f>
        <v>18888.8904</v>
      </c>
    </row>
    <row r="14" spans="1:3" x14ac:dyDescent="0.25">
      <c r="A14" s="60" t="s">
        <v>3</v>
      </c>
      <c r="B14">
        <v>69</v>
      </c>
      <c r="C14" s="64">
        <f t="shared" si="0"/>
        <v>19166.6682</v>
      </c>
    </row>
    <row r="15" spans="1:3" x14ac:dyDescent="0.25">
      <c r="A15" s="60" t="s">
        <v>81</v>
      </c>
      <c r="B15">
        <v>13</v>
      </c>
      <c r="C15" s="64">
        <f t="shared" si="0"/>
        <v>3611.1114000000002</v>
      </c>
    </row>
    <row r="16" spans="1:3" x14ac:dyDescent="0.25">
      <c r="A16" s="61" t="s">
        <v>13</v>
      </c>
      <c r="B16" s="1">
        <v>239</v>
      </c>
      <c r="C16" s="79">
        <f>B16*277.7778</f>
        <v>66388.89420000001</v>
      </c>
    </row>
    <row r="17" spans="1:5" x14ac:dyDescent="0.25">
      <c r="A17" s="65" t="s">
        <v>82</v>
      </c>
      <c r="C17" s="76">
        <f t="shared" si="0"/>
        <v>0</v>
      </c>
    </row>
    <row r="18" spans="1:5" x14ac:dyDescent="0.25">
      <c r="A18" s="60" t="s">
        <v>14</v>
      </c>
      <c r="B18">
        <v>15.000000000000004</v>
      </c>
      <c r="C18" s="64">
        <f t="shared" si="0"/>
        <v>4166.6670000000013</v>
      </c>
    </row>
    <row r="19" spans="1:5" x14ac:dyDescent="0.25">
      <c r="A19" s="60" t="s">
        <v>30</v>
      </c>
      <c r="B19">
        <v>40</v>
      </c>
      <c r="C19" s="64">
        <f t="shared" si="0"/>
        <v>11111.112000000001</v>
      </c>
    </row>
    <row r="20" spans="1:5" x14ac:dyDescent="0.25">
      <c r="A20" s="60" t="s">
        <v>83</v>
      </c>
      <c r="B20">
        <v>82</v>
      </c>
      <c r="C20" s="77">
        <f t="shared" si="0"/>
        <v>22777.779600000002</v>
      </c>
      <c r="D20" s="66">
        <f>C20*0.75</f>
        <v>17083.334699999999</v>
      </c>
      <c r="E20" s="78">
        <v>0.75</v>
      </c>
    </row>
    <row r="21" spans="1:5" x14ac:dyDescent="0.25">
      <c r="A21" s="61" t="s">
        <v>13</v>
      </c>
      <c r="B21">
        <v>137</v>
      </c>
      <c r="C21" s="77">
        <f t="shared" si="0"/>
        <v>38055.558600000004</v>
      </c>
    </row>
    <row r="22" spans="1:5" x14ac:dyDescent="0.25">
      <c r="A22" s="65" t="s">
        <v>84</v>
      </c>
      <c r="C22" s="76">
        <f t="shared" si="0"/>
        <v>0</v>
      </c>
    </row>
    <row r="23" spans="1:5" x14ac:dyDescent="0.25">
      <c r="A23" s="60" t="s">
        <v>30</v>
      </c>
      <c r="B23">
        <v>0</v>
      </c>
      <c r="C23" s="64">
        <f t="shared" si="0"/>
        <v>0</v>
      </c>
    </row>
    <row r="24" spans="1:5" x14ac:dyDescent="0.25">
      <c r="A24" s="60" t="s">
        <v>32</v>
      </c>
      <c r="B24">
        <v>86</v>
      </c>
      <c r="C24" s="67">
        <f t="shared" si="0"/>
        <v>23888.890800000001</v>
      </c>
      <c r="D24" s="75">
        <f>1-(C24/'Sankey2050 (GWh original)'!H64)</f>
        <v>3.6954087346024567E-2</v>
      </c>
      <c r="E24" t="s">
        <v>93</v>
      </c>
    </row>
    <row r="25" spans="1:5" x14ac:dyDescent="0.25">
      <c r="A25" s="60" t="s">
        <v>85</v>
      </c>
      <c r="B25">
        <v>25.000000000000004</v>
      </c>
      <c r="C25" s="64">
        <f t="shared" si="0"/>
        <v>6944.4450000000015</v>
      </c>
    </row>
    <row r="26" spans="1:5" x14ac:dyDescent="0.25">
      <c r="A26" s="60" t="s">
        <v>86</v>
      </c>
      <c r="B26">
        <v>46.000000000000007</v>
      </c>
      <c r="C26" s="64">
        <f t="shared" si="0"/>
        <v>12777.778800000002</v>
      </c>
      <c r="D26" s="54"/>
    </row>
    <row r="27" spans="1:5" x14ac:dyDescent="0.25">
      <c r="A27" s="60" t="s">
        <v>87</v>
      </c>
      <c r="B27">
        <v>58</v>
      </c>
      <c r="C27" s="64">
        <f t="shared" si="0"/>
        <v>16111.1124</v>
      </c>
    </row>
    <row r="28" spans="1:5" x14ac:dyDescent="0.25">
      <c r="A28" s="60" t="s">
        <v>88</v>
      </c>
      <c r="B28">
        <v>0</v>
      </c>
      <c r="C28" s="76">
        <f t="shared" si="0"/>
        <v>0</v>
      </c>
    </row>
    <row r="29" spans="1:5" x14ac:dyDescent="0.25">
      <c r="A29" s="60" t="s">
        <v>51</v>
      </c>
      <c r="B29">
        <v>89</v>
      </c>
      <c r="C29" s="77">
        <f t="shared" si="0"/>
        <v>24722.224200000001</v>
      </c>
      <c r="D29" s="66">
        <f>C29*0.8</f>
        <v>19777.77936</v>
      </c>
      <c r="E29" s="78">
        <v>0.8</v>
      </c>
    </row>
    <row r="30" spans="1:5" x14ac:dyDescent="0.25">
      <c r="A30" s="60" t="s">
        <v>89</v>
      </c>
      <c r="B30">
        <v>190.00000000000006</v>
      </c>
      <c r="C30" s="64">
        <f t="shared" si="0"/>
        <v>52777.782000000021</v>
      </c>
    </row>
    <row r="31" spans="1:5" x14ac:dyDescent="0.25">
      <c r="A31" s="60" t="s">
        <v>90</v>
      </c>
      <c r="B31">
        <v>114</v>
      </c>
      <c r="C31" s="77">
        <f t="shared" si="0"/>
        <v>31666.6692</v>
      </c>
    </row>
    <row r="32" spans="1:5" x14ac:dyDescent="0.25">
      <c r="A32" s="61" t="s">
        <v>13</v>
      </c>
      <c r="B32" s="1">
        <v>304</v>
      </c>
      <c r="C32" s="80">
        <f t="shared" si="0"/>
        <v>84444.45120000001</v>
      </c>
    </row>
    <row r="34" spans="1:2" x14ac:dyDescent="0.25">
      <c r="A34" t="s">
        <v>683</v>
      </c>
      <c r="B34">
        <f>B12+B31+B20</f>
        <v>285</v>
      </c>
    </row>
    <row r="35" spans="1:2" x14ac:dyDescent="0.25">
      <c r="A35" s="6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Normal="100" workbookViewId="0">
      <selection activeCell="H22" sqref="H22"/>
    </sheetView>
  </sheetViews>
  <sheetFormatPr baseColWidth="10" defaultRowHeight="15" x14ac:dyDescent="0.25"/>
  <cols>
    <col min="1" max="1" width="30.42578125" bestFit="1" customWidth="1"/>
    <col min="2" max="2" width="13.140625" customWidth="1"/>
    <col min="257" max="257" width="30.42578125" bestFit="1" customWidth="1"/>
    <col min="258" max="258" width="13.140625" customWidth="1"/>
    <col min="513" max="513" width="30.42578125" bestFit="1" customWidth="1"/>
    <col min="514" max="514" width="13.140625" customWidth="1"/>
    <col min="769" max="769" width="30.42578125" bestFit="1" customWidth="1"/>
    <col min="770" max="770" width="13.140625" customWidth="1"/>
    <col min="1025" max="1025" width="30.42578125" bestFit="1" customWidth="1"/>
    <col min="1026" max="1026" width="13.140625" customWidth="1"/>
    <col min="1281" max="1281" width="30.42578125" bestFit="1" customWidth="1"/>
    <col min="1282" max="1282" width="13.140625" customWidth="1"/>
    <col min="1537" max="1537" width="30.42578125" bestFit="1" customWidth="1"/>
    <col min="1538" max="1538" width="13.140625" customWidth="1"/>
    <col min="1793" max="1793" width="30.42578125" bestFit="1" customWidth="1"/>
    <col min="1794" max="1794" width="13.140625" customWidth="1"/>
    <col min="2049" max="2049" width="30.42578125" bestFit="1" customWidth="1"/>
    <col min="2050" max="2050" width="13.140625" customWidth="1"/>
    <col min="2305" max="2305" width="30.42578125" bestFit="1" customWidth="1"/>
    <col min="2306" max="2306" width="13.140625" customWidth="1"/>
    <col min="2561" max="2561" width="30.42578125" bestFit="1" customWidth="1"/>
    <col min="2562" max="2562" width="13.140625" customWidth="1"/>
    <col min="2817" max="2817" width="30.42578125" bestFit="1" customWidth="1"/>
    <col min="2818" max="2818" width="13.140625" customWidth="1"/>
    <col min="3073" max="3073" width="30.42578125" bestFit="1" customWidth="1"/>
    <col min="3074" max="3074" width="13.140625" customWidth="1"/>
    <col min="3329" max="3329" width="30.42578125" bestFit="1" customWidth="1"/>
    <col min="3330" max="3330" width="13.140625" customWidth="1"/>
    <col min="3585" max="3585" width="30.42578125" bestFit="1" customWidth="1"/>
    <col min="3586" max="3586" width="13.140625" customWidth="1"/>
    <col min="3841" max="3841" width="30.42578125" bestFit="1" customWidth="1"/>
    <col min="3842" max="3842" width="13.140625" customWidth="1"/>
    <col min="4097" max="4097" width="30.42578125" bestFit="1" customWidth="1"/>
    <col min="4098" max="4098" width="13.140625" customWidth="1"/>
    <col min="4353" max="4353" width="30.42578125" bestFit="1" customWidth="1"/>
    <col min="4354" max="4354" width="13.140625" customWidth="1"/>
    <col min="4609" max="4609" width="30.42578125" bestFit="1" customWidth="1"/>
    <col min="4610" max="4610" width="13.140625" customWidth="1"/>
    <col min="4865" max="4865" width="30.42578125" bestFit="1" customWidth="1"/>
    <col min="4866" max="4866" width="13.140625" customWidth="1"/>
    <col min="5121" max="5121" width="30.42578125" bestFit="1" customWidth="1"/>
    <col min="5122" max="5122" width="13.140625" customWidth="1"/>
    <col min="5377" max="5377" width="30.42578125" bestFit="1" customWidth="1"/>
    <col min="5378" max="5378" width="13.140625" customWidth="1"/>
    <col min="5633" max="5633" width="30.42578125" bestFit="1" customWidth="1"/>
    <col min="5634" max="5634" width="13.140625" customWidth="1"/>
    <col min="5889" max="5889" width="30.42578125" bestFit="1" customWidth="1"/>
    <col min="5890" max="5890" width="13.140625" customWidth="1"/>
    <col min="6145" max="6145" width="30.42578125" bestFit="1" customWidth="1"/>
    <col min="6146" max="6146" width="13.140625" customWidth="1"/>
    <col min="6401" max="6401" width="30.42578125" bestFit="1" customWidth="1"/>
    <col min="6402" max="6402" width="13.140625" customWidth="1"/>
    <col min="6657" max="6657" width="30.42578125" bestFit="1" customWidth="1"/>
    <col min="6658" max="6658" width="13.140625" customWidth="1"/>
    <col min="6913" max="6913" width="30.42578125" bestFit="1" customWidth="1"/>
    <col min="6914" max="6914" width="13.140625" customWidth="1"/>
    <col min="7169" max="7169" width="30.42578125" bestFit="1" customWidth="1"/>
    <col min="7170" max="7170" width="13.140625" customWidth="1"/>
    <col min="7425" max="7425" width="30.42578125" bestFit="1" customWidth="1"/>
    <col min="7426" max="7426" width="13.140625" customWidth="1"/>
    <col min="7681" max="7681" width="30.42578125" bestFit="1" customWidth="1"/>
    <col min="7682" max="7682" width="13.140625" customWidth="1"/>
    <col min="7937" max="7937" width="30.42578125" bestFit="1" customWidth="1"/>
    <col min="7938" max="7938" width="13.140625" customWidth="1"/>
    <col min="8193" max="8193" width="30.42578125" bestFit="1" customWidth="1"/>
    <col min="8194" max="8194" width="13.140625" customWidth="1"/>
    <col min="8449" max="8449" width="30.42578125" bestFit="1" customWidth="1"/>
    <col min="8450" max="8450" width="13.140625" customWidth="1"/>
    <col min="8705" max="8705" width="30.42578125" bestFit="1" customWidth="1"/>
    <col min="8706" max="8706" width="13.140625" customWidth="1"/>
    <col min="8961" max="8961" width="30.42578125" bestFit="1" customWidth="1"/>
    <col min="8962" max="8962" width="13.140625" customWidth="1"/>
    <col min="9217" max="9217" width="30.42578125" bestFit="1" customWidth="1"/>
    <col min="9218" max="9218" width="13.140625" customWidth="1"/>
    <col min="9473" max="9473" width="30.42578125" bestFit="1" customWidth="1"/>
    <col min="9474" max="9474" width="13.140625" customWidth="1"/>
    <col min="9729" max="9729" width="30.42578125" bestFit="1" customWidth="1"/>
    <col min="9730" max="9730" width="13.140625" customWidth="1"/>
    <col min="9985" max="9985" width="30.42578125" bestFit="1" customWidth="1"/>
    <col min="9986" max="9986" width="13.140625" customWidth="1"/>
    <col min="10241" max="10241" width="30.42578125" bestFit="1" customWidth="1"/>
    <col min="10242" max="10242" width="13.140625" customWidth="1"/>
    <col min="10497" max="10497" width="30.42578125" bestFit="1" customWidth="1"/>
    <col min="10498" max="10498" width="13.140625" customWidth="1"/>
    <col min="10753" max="10753" width="30.42578125" bestFit="1" customWidth="1"/>
    <col min="10754" max="10754" width="13.140625" customWidth="1"/>
    <col min="11009" max="11009" width="30.42578125" bestFit="1" customWidth="1"/>
    <col min="11010" max="11010" width="13.140625" customWidth="1"/>
    <col min="11265" max="11265" width="30.42578125" bestFit="1" customWidth="1"/>
    <col min="11266" max="11266" width="13.140625" customWidth="1"/>
    <col min="11521" max="11521" width="30.42578125" bestFit="1" customWidth="1"/>
    <col min="11522" max="11522" width="13.140625" customWidth="1"/>
    <col min="11777" max="11777" width="30.42578125" bestFit="1" customWidth="1"/>
    <col min="11778" max="11778" width="13.140625" customWidth="1"/>
    <col min="12033" max="12033" width="30.42578125" bestFit="1" customWidth="1"/>
    <col min="12034" max="12034" width="13.140625" customWidth="1"/>
    <col min="12289" max="12289" width="30.42578125" bestFit="1" customWidth="1"/>
    <col min="12290" max="12290" width="13.140625" customWidth="1"/>
    <col min="12545" max="12545" width="30.42578125" bestFit="1" customWidth="1"/>
    <col min="12546" max="12546" width="13.140625" customWidth="1"/>
    <col min="12801" max="12801" width="30.42578125" bestFit="1" customWidth="1"/>
    <col min="12802" max="12802" width="13.140625" customWidth="1"/>
    <col min="13057" max="13057" width="30.42578125" bestFit="1" customWidth="1"/>
    <col min="13058" max="13058" width="13.140625" customWidth="1"/>
    <col min="13313" max="13313" width="30.42578125" bestFit="1" customWidth="1"/>
    <col min="13314" max="13314" width="13.140625" customWidth="1"/>
    <col min="13569" max="13569" width="30.42578125" bestFit="1" customWidth="1"/>
    <col min="13570" max="13570" width="13.140625" customWidth="1"/>
    <col min="13825" max="13825" width="30.42578125" bestFit="1" customWidth="1"/>
    <col min="13826" max="13826" width="13.140625" customWidth="1"/>
    <col min="14081" max="14081" width="30.42578125" bestFit="1" customWidth="1"/>
    <col min="14082" max="14082" width="13.140625" customWidth="1"/>
    <col min="14337" max="14337" width="30.42578125" bestFit="1" customWidth="1"/>
    <col min="14338" max="14338" width="13.140625" customWidth="1"/>
    <col min="14593" max="14593" width="30.42578125" bestFit="1" customWidth="1"/>
    <col min="14594" max="14594" width="13.140625" customWidth="1"/>
    <col min="14849" max="14849" width="30.42578125" bestFit="1" customWidth="1"/>
    <col min="14850" max="14850" width="13.140625" customWidth="1"/>
    <col min="15105" max="15105" width="30.42578125" bestFit="1" customWidth="1"/>
    <col min="15106" max="15106" width="13.140625" customWidth="1"/>
    <col min="15361" max="15361" width="30.42578125" bestFit="1" customWidth="1"/>
    <col min="15362" max="15362" width="13.140625" customWidth="1"/>
    <col min="15617" max="15617" width="30.42578125" bestFit="1" customWidth="1"/>
    <col min="15618" max="15618" width="13.140625" customWidth="1"/>
    <col min="15873" max="15873" width="30.42578125" bestFit="1" customWidth="1"/>
    <col min="15874" max="15874" width="13.140625" customWidth="1"/>
    <col min="16129" max="16129" width="30.42578125" bestFit="1" customWidth="1"/>
    <col min="16130" max="16130" width="13.140625" customWidth="1"/>
  </cols>
  <sheetData>
    <row r="1" spans="1:5" x14ac:dyDescent="0.25">
      <c r="A1" t="s">
        <v>105</v>
      </c>
    </row>
    <row r="2" spans="1:5" x14ac:dyDescent="0.25">
      <c r="B2" s="416">
        <v>2017</v>
      </c>
      <c r="C2" s="416"/>
      <c r="D2" s="416">
        <v>2050</v>
      </c>
      <c r="E2" s="416"/>
    </row>
    <row r="3" spans="1:5" x14ac:dyDescent="0.25">
      <c r="B3" s="3" t="s">
        <v>106</v>
      </c>
      <c r="C3" s="3" t="s">
        <v>107</v>
      </c>
      <c r="D3" s="3" t="s">
        <v>106</v>
      </c>
      <c r="E3" s="3" t="s">
        <v>107</v>
      </c>
    </row>
    <row r="4" spans="1:5" x14ac:dyDescent="0.25">
      <c r="A4" s="11" t="s">
        <v>5</v>
      </c>
      <c r="B4" s="88">
        <v>74277.783719999992</v>
      </c>
      <c r="C4" s="88"/>
      <c r="D4" s="88">
        <v>81390</v>
      </c>
      <c r="E4" s="88"/>
    </row>
    <row r="5" spans="1:5" x14ac:dyDescent="0.25">
      <c r="A5" s="11" t="s">
        <v>0</v>
      </c>
      <c r="B5" s="88">
        <v>38694.447540000008</v>
      </c>
      <c r="C5" s="88"/>
      <c r="D5" s="88">
        <v>49167</v>
      </c>
      <c r="E5" s="88"/>
    </row>
    <row r="6" spans="1:5" x14ac:dyDescent="0.25">
      <c r="A6" s="11" t="s">
        <v>2</v>
      </c>
      <c r="B6" s="88">
        <v>6222.2227199999998</v>
      </c>
      <c r="C6" s="88"/>
      <c r="D6" s="88">
        <v>30241.019</v>
      </c>
      <c r="E6" s="88"/>
    </row>
    <row r="7" spans="1:5" x14ac:dyDescent="0.25">
      <c r="A7" s="11" t="s">
        <v>1</v>
      </c>
      <c r="B7" s="88"/>
      <c r="C7" s="88">
        <v>1250.0001</v>
      </c>
      <c r="D7" s="88"/>
      <c r="E7" s="88">
        <v>35380.019</v>
      </c>
    </row>
    <row r="8" spans="1:5" x14ac:dyDescent="0.25">
      <c r="A8" s="11" t="s">
        <v>3</v>
      </c>
      <c r="B8" s="88"/>
      <c r="C8" s="88">
        <v>0</v>
      </c>
      <c r="D8" s="88"/>
      <c r="E8" s="88">
        <v>20833</v>
      </c>
    </row>
    <row r="9" spans="1:5" x14ac:dyDescent="0.25">
      <c r="A9" s="11" t="s">
        <v>4</v>
      </c>
      <c r="B9" s="88"/>
      <c r="C9" s="88">
        <v>5055.5559599999997</v>
      </c>
      <c r="D9" s="88"/>
      <c r="E9" s="88">
        <v>18889</v>
      </c>
    </row>
    <row r="17" spans="1:5" x14ac:dyDescent="0.25">
      <c r="A17" t="s">
        <v>108</v>
      </c>
      <c r="B17" s="1"/>
      <c r="C17" s="1"/>
    </row>
    <row r="19" spans="1:5" x14ac:dyDescent="0.25">
      <c r="A19" t="s">
        <v>109</v>
      </c>
      <c r="B19" t="s">
        <v>112</v>
      </c>
      <c r="C19" t="s">
        <v>110</v>
      </c>
      <c r="D19" t="s">
        <v>111</v>
      </c>
      <c r="E19" t="s">
        <v>113</v>
      </c>
    </row>
    <row r="20" spans="1:5" x14ac:dyDescent="0.25">
      <c r="A20">
        <v>1</v>
      </c>
    </row>
    <row r="21" spans="1:5" x14ac:dyDescent="0.25">
      <c r="A21">
        <v>2</v>
      </c>
    </row>
    <row r="22" spans="1:5" x14ac:dyDescent="0.25">
      <c r="A22">
        <v>3</v>
      </c>
    </row>
    <row r="23" spans="1:5" x14ac:dyDescent="0.25">
      <c r="A23">
        <v>4</v>
      </c>
    </row>
    <row r="24" spans="1:5" x14ac:dyDescent="0.25">
      <c r="A24">
        <v>5</v>
      </c>
    </row>
    <row r="25" spans="1:5" x14ac:dyDescent="0.25">
      <c r="A25">
        <v>6</v>
      </c>
    </row>
  </sheetData>
  <mergeCells count="2">
    <mergeCell ref="B2:C2"/>
    <mergeCell ref="D2:E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1" sqref="M1"/>
    </sheetView>
  </sheetViews>
  <sheetFormatPr baseColWidth="10" defaultRowHeight="15" x14ac:dyDescent="0.25"/>
  <cols>
    <col min="2" max="2" width="38.85546875" customWidth="1"/>
  </cols>
  <sheetData>
    <row r="1" spans="1:14" x14ac:dyDescent="0.25">
      <c r="A1" t="s">
        <v>699</v>
      </c>
      <c r="B1" t="s">
        <v>700</v>
      </c>
      <c r="C1" t="s">
        <v>701</v>
      </c>
      <c r="D1" t="s">
        <v>664</v>
      </c>
      <c r="E1" t="s">
        <v>322</v>
      </c>
      <c r="F1" t="s">
        <v>680</v>
      </c>
      <c r="G1" t="s">
        <v>681</v>
      </c>
      <c r="H1" t="s">
        <v>0</v>
      </c>
      <c r="I1" t="s">
        <v>138</v>
      </c>
      <c r="J1" t="s">
        <v>1</v>
      </c>
      <c r="K1" t="s">
        <v>695</v>
      </c>
      <c r="L1" t="s">
        <v>682</v>
      </c>
      <c r="M1" t="s">
        <v>704</v>
      </c>
      <c r="N1" t="s">
        <v>679</v>
      </c>
    </row>
    <row r="2" spans="1:14" x14ac:dyDescent="0.25">
      <c r="A2" s="415" t="s">
        <v>697</v>
      </c>
      <c r="B2" t="str">
        <f>CONCATENATE(scenarios!A6)</f>
        <v>Energie und Klimazukunft 2030 (Veigl17)</v>
      </c>
      <c r="C2" s="363">
        <v>2018</v>
      </c>
      <c r="D2">
        <v>2030</v>
      </c>
      <c r="E2" s="412">
        <f>scenarios!C6/scenarios!$C$4</f>
        <v>1.2331176672022346</v>
      </c>
      <c r="F2" s="412">
        <f>scenarios!E6/scenarios!C$4</f>
        <v>0</v>
      </c>
      <c r="G2" s="412">
        <f>scenarios!F6/scenarios!F$4</f>
        <v>1.6078043061159419</v>
      </c>
      <c r="H2" s="412">
        <f>scenarios!G6/scenarios!G$4</f>
        <v>1.2621516911228507</v>
      </c>
      <c r="I2" s="412">
        <f>scenarios!H6/scenarios!H$4</f>
        <v>1.8674609137173559</v>
      </c>
      <c r="J2" s="412">
        <f>scenarios!I6/scenarios!I$4</f>
        <v>8.9944375269833134</v>
      </c>
      <c r="K2" s="412">
        <f>scenarios!J6/scenarios!J$4</f>
        <v>1.6665243077715501</v>
      </c>
      <c r="L2" s="412">
        <f>scenarios!K6/scenarios!K$4</f>
        <v>1.5680135810233413</v>
      </c>
      <c r="M2" s="412">
        <f>scenarios!L6/scenarios!L$4</f>
        <v>1.276824856920876</v>
      </c>
      <c r="N2" s="412">
        <f>scenarios!M6/scenarios!M$4</f>
        <v>1.1547800851706189</v>
      </c>
    </row>
    <row r="3" spans="1:14" x14ac:dyDescent="0.25">
      <c r="A3" s="415"/>
      <c r="B3" t="str">
        <f>CONCATENATE(scenarios!A7)</f>
        <v>Erneuerbare Energie 2030 (UBA16)</v>
      </c>
      <c r="C3" s="363">
        <v>2018</v>
      </c>
      <c r="D3">
        <v>2030</v>
      </c>
      <c r="E3" s="412">
        <f>scenarios!C7/scenarios!$C$4</f>
        <v>1.1528043828161396</v>
      </c>
      <c r="F3" s="412">
        <f>scenarios!E7/scenarios!C$4</f>
        <v>-0.22268593201268122</v>
      </c>
      <c r="G3" s="412">
        <f>scenarios!F7/scenarios!F$4</f>
        <v>1.7104280462063866</v>
      </c>
      <c r="H3" s="412">
        <f>scenarios!G7/scenarios!G$4</f>
        <v>1.2523801941593191</v>
      </c>
      <c r="I3" s="412">
        <f>scenarios!H7/scenarios!H$4</f>
        <v>2.723018588141354</v>
      </c>
      <c r="J3" s="412">
        <f>scenarios!I7/scenarios!I$4</f>
        <v>10.441368781324107</v>
      </c>
      <c r="K3" s="412">
        <f>scenarios!J7/scenarios!J$4</f>
        <v>1.8576807773900079</v>
      </c>
      <c r="L3" s="412">
        <f>scenarios!K7/scenarios!K$4</f>
        <v>1.3539296972765325</v>
      </c>
      <c r="M3" s="412">
        <f>scenarios!L7/scenarios!L$4</f>
        <v>1.266939761254392</v>
      </c>
      <c r="N3" s="412">
        <f>scenarios!M7/scenarios!M$4</f>
        <v>1.1458398522531692</v>
      </c>
    </row>
    <row r="4" spans="1:14" x14ac:dyDescent="0.25">
      <c r="A4" s="415"/>
      <c r="B4" t="str">
        <f>CONCATENATE(scenarios!A8)</f>
        <v>WEM 2030 (UBA17)</v>
      </c>
      <c r="C4" s="363">
        <v>2018</v>
      </c>
      <c r="D4">
        <v>2030</v>
      </c>
      <c r="E4" s="412">
        <f>scenarios!C8/scenarios!$C$4</f>
        <v>1.1961340777209253</v>
      </c>
      <c r="F4" s="412">
        <f>scenarios!E8/scenarios!C$4</f>
        <v>4.3749691947481573E-2</v>
      </c>
      <c r="G4" s="412">
        <f>scenarios!F8/scenarios!F$4</f>
        <v>1.4329948762180251</v>
      </c>
      <c r="H4" s="412">
        <f>scenarios!G8/scenarios!G$4</f>
        <v>1.2780955170016801</v>
      </c>
      <c r="I4" s="412">
        <f>scenarios!H8/scenarios!H$4</f>
        <v>1.1210411294368863</v>
      </c>
      <c r="J4" s="412">
        <f>scenarios!I8/scenarios!I$4</f>
        <v>6.3985646441956936</v>
      </c>
      <c r="K4" s="412">
        <f>scenarios!J8/scenarios!J$4</f>
        <v>1.4556267030196848</v>
      </c>
      <c r="L4" s="412">
        <f>scenarios!K8/scenarios!K$4</f>
        <v>1.4576498397038522</v>
      </c>
      <c r="M4" s="412">
        <f>scenarios!L8/scenarios!L$4</f>
        <v>1.2929540380166895</v>
      </c>
      <c r="N4" s="412">
        <f>scenarios!M8/scenarios!M$4</f>
        <v>1.1693675652142581</v>
      </c>
    </row>
    <row r="5" spans="1:14" x14ac:dyDescent="0.25">
      <c r="A5" s="415"/>
      <c r="B5" t="str">
        <f>CONCATENATE(scenarios!A9)</f>
        <v>Transition 2030 (UBA17)</v>
      </c>
      <c r="C5" s="363">
        <v>2018</v>
      </c>
      <c r="D5">
        <v>2030</v>
      </c>
      <c r="E5" s="412">
        <f>scenarios!C9/scenarios!$C$4</f>
        <v>1.238160031805676</v>
      </c>
      <c r="F5" s="412">
        <f>scenarios!E9/scenarios!C$4</f>
        <v>-6.9999507115970527E-2</v>
      </c>
      <c r="G5" s="412">
        <f>scenarios!F9/scenarios!F$4</f>
        <v>1.6267019405094518</v>
      </c>
      <c r="H5" s="412">
        <f>scenarios!G9/scenarios!G$4</f>
        <v>1.2351172161904129</v>
      </c>
      <c r="I5" s="412">
        <f>scenarios!H9/scenarios!H$4</f>
        <v>2.4164944223502589</v>
      </c>
      <c r="J5" s="412">
        <f>scenarios!I9/scenarios!I$4</f>
        <v>7.5600202726800614</v>
      </c>
      <c r="K5" s="412">
        <f>scenarios!J9/scenarios!J$4</f>
        <v>1.6837894849137951</v>
      </c>
      <c r="L5" s="412">
        <f>scenarios!K9/scenarios!K$4</f>
        <v>1.6132756914245137</v>
      </c>
      <c r="M5" s="412">
        <f>scenarios!L9/scenarios!L$4</f>
        <v>1.2494760922436032</v>
      </c>
      <c r="N5" s="412">
        <f>scenarios!M9/scenarios!M$4</f>
        <v>1.1300454407656739</v>
      </c>
    </row>
    <row r="6" spans="1:14" x14ac:dyDescent="0.25">
      <c r="A6" s="415"/>
      <c r="B6" t="str">
        <f>CONCATENATE(scenarios!A10)</f>
        <v>Energie und Klimazukunft 2050 (Veigl17)</v>
      </c>
      <c r="C6" s="363">
        <v>2018</v>
      </c>
      <c r="D6">
        <v>2050</v>
      </c>
      <c r="E6" s="412">
        <f>scenarios!C10/scenarios!$C$4</f>
        <v>1.3197351278613954</v>
      </c>
      <c r="F6" s="412">
        <f>scenarios!E10/scenarios!C$4</f>
        <v>0</v>
      </c>
      <c r="G6" s="412">
        <f>scenarios!F10/scenarios!F$4</f>
        <v>2.1835588323011881</v>
      </c>
      <c r="H6" s="412">
        <f>scenarios!G10/scenarios!G$4</f>
        <v>1.2621516911228507</v>
      </c>
      <c r="I6" s="412">
        <f>scenarios!H10/scenarios!H$4</f>
        <v>3.1269112973872009</v>
      </c>
      <c r="J6" s="412">
        <f>scenarios!I10/scenarios!I$4</f>
        <v>23.072687569218065</v>
      </c>
      <c r="K6" s="412">
        <f>scenarios!J10/scenarios!J$4</f>
        <v>2.4081808624528747</v>
      </c>
      <c r="L6" s="412">
        <f>scenarios!K10/scenarios!K$4</f>
        <v>1.7150148542442805</v>
      </c>
      <c r="M6" s="412">
        <f>scenarios!L10/scenarios!L$4</f>
        <v>1.276824856920876</v>
      </c>
      <c r="N6" s="412">
        <f>scenarios!M10/scenarios!M$4</f>
        <v>1.1547800851706189</v>
      </c>
    </row>
    <row r="7" spans="1:14" x14ac:dyDescent="0.25">
      <c r="A7" s="415"/>
      <c r="B7" t="str">
        <f>CONCATENATE(scenarios!A11)</f>
        <v>Erneuerbare Energie 2050 (UBA16)</v>
      </c>
      <c r="C7" s="363">
        <v>2018</v>
      </c>
      <c r="D7">
        <v>2050</v>
      </c>
      <c r="E7" s="412">
        <f>scenarios!C11/scenarios!$C$4</f>
        <v>1.2398662697916278</v>
      </c>
      <c r="F7" s="412">
        <f>scenarios!E11/scenarios!C$4</f>
        <v>-0.31062281282711918</v>
      </c>
      <c r="G7" s="412">
        <f>scenarios!F11/scenarios!F$4</f>
        <v>1.9280397569196674</v>
      </c>
      <c r="H7" s="412">
        <f>scenarios!G11/scenarios!G$4</f>
        <v>1.3272950042130625</v>
      </c>
      <c r="I7" s="412">
        <f>scenarios!H11/scenarios!H$4</f>
        <v>3.2962856593290075</v>
      </c>
      <c r="J7" s="412">
        <f>scenarios!I11/scenarios!I$4</f>
        <v>16.581050049743151</v>
      </c>
      <c r="K7" s="412">
        <f>scenarios!J11/scenarios!J$4</f>
        <v>2.2453101457911737</v>
      </c>
      <c r="L7" s="412">
        <f>scenarios!K11/scenarios!K$4</f>
        <v>0.93405936418852886</v>
      </c>
      <c r="M7" s="412">
        <f>scenarios!L11/scenarios!L$4</f>
        <v>1.3427254946974374</v>
      </c>
      <c r="N7" s="412">
        <f>scenarios!M11/scenarios!M$4</f>
        <v>1.2143816379536185</v>
      </c>
    </row>
    <row r="8" spans="1:14" x14ac:dyDescent="0.25">
      <c r="A8" s="415"/>
      <c r="B8" t="str">
        <f>CONCATENATE(scenarios!A12)</f>
        <v>WEM 2050 (UBA17)</v>
      </c>
      <c r="C8" s="363">
        <v>2018</v>
      </c>
      <c r="D8">
        <v>2050</v>
      </c>
      <c r="E8" s="412">
        <f>scenarios!C12/scenarios!$C$4</f>
        <v>1.3947183044397389</v>
      </c>
      <c r="F8" s="412">
        <f>scenarios!E12/scenarios!C$4</f>
        <v>0.17062379859517815</v>
      </c>
      <c r="G8" s="412">
        <f>scenarios!F12/scenarios!F$4</f>
        <v>1.5221667149755598</v>
      </c>
      <c r="H8" s="412">
        <f>scenarios!G12/scenarios!G$4</f>
        <v>1.2780955170016801</v>
      </c>
      <c r="I8" s="412">
        <f>scenarios!H12/scenarios!H$4</f>
        <v>1.189268596772932</v>
      </c>
      <c r="J8" s="412">
        <f>scenarios!I12/scenarios!I$4</f>
        <v>12.107686098823059</v>
      </c>
      <c r="K8" s="412">
        <f>scenarios!J12/scenarios!J$4</f>
        <v>1.6815675993661172</v>
      </c>
      <c r="L8" s="412">
        <f>scenarios!K12/scenarios!K$4</f>
        <v>1.0201936332444821</v>
      </c>
      <c r="M8" s="412">
        <f>scenarios!L12/scenarios!L$4</f>
        <v>1.2929540380166895</v>
      </c>
      <c r="N8" s="412">
        <f>scenarios!M12/scenarios!M$4</f>
        <v>1.1693675652142581</v>
      </c>
    </row>
    <row r="9" spans="1:14" x14ac:dyDescent="0.25">
      <c r="A9" s="415"/>
      <c r="B9" t="str">
        <f>CONCATENATE(scenarios!A13)</f>
        <v>Transition 2050 (UBA17)</v>
      </c>
      <c r="C9" s="363">
        <v>2018</v>
      </c>
      <c r="D9">
        <v>2050</v>
      </c>
      <c r="E9" s="412">
        <f>scenarios!C13/scenarios!$C$4</f>
        <v>1.8239246572905068</v>
      </c>
      <c r="F9" s="412">
        <f>scenarios!E13/scenarios!C$4</f>
        <v>0</v>
      </c>
      <c r="G9" s="412">
        <f>scenarios!F13/scenarios!F$4</f>
        <v>2.2680580549091687</v>
      </c>
      <c r="H9" s="412">
        <f>scenarios!G13/scenarios!G$4</f>
        <v>1.3779276443124293</v>
      </c>
      <c r="I9" s="412">
        <f>scenarios!H13/scenarios!H$4</f>
        <v>4.4323967640463575</v>
      </c>
      <c r="J9" s="412">
        <f>scenarios!I13/scenarios!I$4</f>
        <v>18.623178430869537</v>
      </c>
      <c r="K9" s="412">
        <f>scenarios!J13/scenarios!J$4</f>
        <v>2.5547352817742701</v>
      </c>
      <c r="L9" s="412">
        <f>scenarios!K13/scenarios!K$4</f>
        <v>1.5327701188628553</v>
      </c>
      <c r="M9" s="412">
        <f>scenarios!L13/scenarios!L$4</f>
        <v>1.3939467654092697</v>
      </c>
      <c r="N9" s="412">
        <f>scenarios!M13/scenarios!M$4</f>
        <v>1.260706944854205</v>
      </c>
    </row>
    <row r="10" spans="1:14" x14ac:dyDescent="0.25">
      <c r="A10" s="415"/>
      <c r="B10" t="str">
        <f>CONCATENATE(scenarios!A14)</f>
        <v>100% Erneuerbare Deckung 2050 (FLUCCO+)</v>
      </c>
      <c r="C10" s="363">
        <v>2018</v>
      </c>
      <c r="D10">
        <v>2050</v>
      </c>
      <c r="E10" s="412">
        <f>scenarios!C14/scenarios!$C$4</f>
        <v>1.3759892810072392</v>
      </c>
      <c r="F10" s="412">
        <f>scenarios!E14/scenarios!C$4</f>
        <v>0</v>
      </c>
      <c r="G10" s="412">
        <f>scenarios!F14/scenarios!F$4</f>
        <v>1.7110485127676374</v>
      </c>
      <c r="H10" s="412">
        <f>scenarios!G14/scenarios!G$4</f>
        <v>0.99335613560972091</v>
      </c>
      <c r="I10" s="412">
        <f>scenarios!H14/scenarios!H$4</f>
        <v>3.7353471205762974</v>
      </c>
      <c r="J10" s="412">
        <f>scenarios!I14/scenarios!I$4</f>
        <v>19.457063279169653</v>
      </c>
      <c r="K10" s="412">
        <f>scenarios!J14/scenarios!J$4</f>
        <v>2.1595410875677117</v>
      </c>
      <c r="L10" s="412">
        <f>scenarios!K14/scenarios!K$4</f>
        <v>0.21313874614667561</v>
      </c>
      <c r="M10" s="412">
        <f>scenarios!L14/scenarios!L$4</f>
        <v>1.0049044141382077</v>
      </c>
      <c r="N10" s="412">
        <f>scenarios!M14/scenarios!M$4</f>
        <v>0.90885104457107391</v>
      </c>
    </row>
    <row r="11" spans="1:14" x14ac:dyDescent="0.25">
      <c r="B11" t="str">
        <f>CONCATENATE(scenarios!A15)</f>
        <v>100% Erneuerbare Deckung 2050 inkl Methan (FLUCCO+)</v>
      </c>
      <c r="C11" s="363">
        <v>2018</v>
      </c>
      <c r="D11">
        <v>2050</v>
      </c>
      <c r="E11" s="412">
        <f>scenarios!C15/scenarios!$C$4</f>
        <v>1.8383865701037312</v>
      </c>
      <c r="F11" s="412">
        <f>scenarios!E15/scenarios!C$4</f>
        <v>0</v>
      </c>
      <c r="G11" s="412">
        <f>scenarios!F15/scenarios!F$4</f>
        <v>2.2860415048912275</v>
      </c>
      <c r="H11" s="412">
        <f>scenarios!G15/scenarios!G$4</f>
        <v>1.4411902783956245</v>
      </c>
      <c r="I11" s="412">
        <f>scenarios!H15/scenarios!H$4</f>
        <v>4.7276278611905402</v>
      </c>
      <c r="J11" s="412">
        <f>scenarios!I15/scenarios!I$4</f>
        <v>24.902173434837461</v>
      </c>
      <c r="K11" s="412">
        <f>scenarios!J15/scenarios!J$4</f>
        <v>2.8912336841305595</v>
      </c>
      <c r="L11" s="412">
        <f>scenarios!K15/scenarios!K$4</f>
        <v>0.21310266939254133</v>
      </c>
      <c r="M11" s="412">
        <f>scenarios!L15/scenarios!L$4</f>
        <v>1.4579448603132612</v>
      </c>
      <c r="N11" s="412">
        <f>scenarios!M15/scenarios!M$4</f>
        <v>1.3185878085321028</v>
      </c>
    </row>
  </sheetData>
  <mergeCells count="1">
    <mergeCell ref="A2:A10"/>
  </mergeCells>
  <conditionalFormatting sqref="E2:N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{28D61B04-2926-478F-98F6-E23ABB39A105}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61B04-2926-478F-98F6-E23ABB39A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E2:N11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" workbookViewId="0">
      <selection activeCell="L21" sqref="L21"/>
    </sheetView>
  </sheetViews>
  <sheetFormatPr baseColWidth="10" defaultRowHeight="15" x14ac:dyDescent="0.25"/>
  <cols>
    <col min="1" max="1" width="16.140625" customWidth="1"/>
    <col min="2" max="2" width="63.85546875" customWidth="1"/>
    <col min="3" max="3" width="16.140625" customWidth="1"/>
    <col min="8" max="8" width="16.85546875" customWidth="1"/>
    <col min="9" max="9" width="11.42578125" customWidth="1"/>
  </cols>
  <sheetData>
    <row r="1" spans="1:14" x14ac:dyDescent="0.25">
      <c r="A1" t="s">
        <v>699</v>
      </c>
      <c r="B1" t="s">
        <v>700</v>
      </c>
      <c r="C1" t="s">
        <v>701</v>
      </c>
      <c r="D1" t="s">
        <v>664</v>
      </c>
      <c r="E1" t="s">
        <v>322</v>
      </c>
      <c r="F1" t="s">
        <v>680</v>
      </c>
      <c r="G1" t="s">
        <v>681</v>
      </c>
      <c r="H1" t="s">
        <v>0</v>
      </c>
      <c r="I1" t="s">
        <v>138</v>
      </c>
      <c r="J1" t="s">
        <v>1</v>
      </c>
      <c r="K1" t="s">
        <v>695</v>
      </c>
      <c r="L1" t="s">
        <v>682</v>
      </c>
      <c r="M1" t="s">
        <v>704</v>
      </c>
      <c r="N1" t="s">
        <v>679</v>
      </c>
    </row>
    <row r="2" spans="1:14" x14ac:dyDescent="0.25">
      <c r="A2" s="415" t="s">
        <v>697</v>
      </c>
      <c r="B2" t="str">
        <f>CONCATENATE(scenarios!A6)</f>
        <v>Energie und Klimazukunft 2030 (Veigl17)</v>
      </c>
      <c r="C2" s="363">
        <v>2018</v>
      </c>
      <c r="D2">
        <v>2030</v>
      </c>
      <c r="E2" s="412">
        <f>scenarios!C6/scenarios!$C$4</f>
        <v>1.2331176672022346</v>
      </c>
      <c r="F2" s="412">
        <f>scenarios!E6/scenarios!C$4</f>
        <v>0</v>
      </c>
      <c r="G2" s="412">
        <f>scenarios!F6/scenarios!F$4</f>
        <v>1.6078043061159419</v>
      </c>
      <c r="H2" s="412">
        <f>scenarios!G6/scenarios!G$4</f>
        <v>1.2621516911228507</v>
      </c>
      <c r="I2" s="412">
        <f>scenarios!H6/scenarios!H$4</f>
        <v>1.8674609137173559</v>
      </c>
      <c r="J2" s="412">
        <f>scenarios!I6/scenarios!I$4</f>
        <v>8.9944375269833134</v>
      </c>
      <c r="K2" s="412">
        <f>scenarios!J6/scenarios!J$4</f>
        <v>1.6665243077715501</v>
      </c>
      <c r="L2" s="412">
        <f>scenarios!K6/scenarios!K$4</f>
        <v>1.5680135810233413</v>
      </c>
      <c r="M2" s="412">
        <f>scenarios!L6/scenarios!L$4</f>
        <v>1.276824856920876</v>
      </c>
      <c r="N2" s="412">
        <f>scenarios!M6/scenarios!M$4</f>
        <v>1.1547800851706189</v>
      </c>
    </row>
    <row r="3" spans="1:14" x14ac:dyDescent="0.25">
      <c r="A3" s="415"/>
      <c r="B3" t="str">
        <f>CONCATENATE(scenarios!A7)</f>
        <v>Erneuerbare Energie 2030 (UBA16)</v>
      </c>
      <c r="C3" s="363">
        <v>2018</v>
      </c>
      <c r="D3">
        <v>2030</v>
      </c>
      <c r="E3" s="412">
        <f>scenarios!C7/scenarios!$C$4</f>
        <v>1.1528043828161396</v>
      </c>
      <c r="F3" s="412">
        <f>scenarios!E7/scenarios!C$4</f>
        <v>-0.22268593201268122</v>
      </c>
      <c r="G3" s="412">
        <f>scenarios!F7/scenarios!F$4</f>
        <v>1.7104280462063866</v>
      </c>
      <c r="H3" s="412">
        <f>scenarios!G7/scenarios!G$4</f>
        <v>1.2523801941593191</v>
      </c>
      <c r="I3" s="412">
        <f>scenarios!H7/scenarios!H$4</f>
        <v>2.723018588141354</v>
      </c>
      <c r="J3" s="412">
        <f>scenarios!I7/scenarios!I$4</f>
        <v>10.441368781324107</v>
      </c>
      <c r="K3" s="412">
        <f>scenarios!J7/scenarios!J$4</f>
        <v>1.8576807773900079</v>
      </c>
      <c r="L3" s="412">
        <f>scenarios!K7/scenarios!K$4</f>
        <v>1.3539296972765325</v>
      </c>
      <c r="M3" s="412">
        <f>scenarios!L7/scenarios!L$4</f>
        <v>1.266939761254392</v>
      </c>
      <c r="N3" s="412">
        <f>scenarios!M7/scenarios!M$4</f>
        <v>1.1458398522531692</v>
      </c>
    </row>
    <row r="4" spans="1:14" x14ac:dyDescent="0.25">
      <c r="A4" s="415"/>
      <c r="B4" t="str">
        <f>CONCATENATE(scenarios!A8)</f>
        <v>WEM 2030 (UBA17)</v>
      </c>
      <c r="C4" s="363">
        <v>2018</v>
      </c>
      <c r="D4">
        <v>2030</v>
      </c>
      <c r="E4" s="412">
        <f>scenarios!C8/scenarios!$C$4</f>
        <v>1.1961340777209253</v>
      </c>
      <c r="F4" s="412">
        <f>scenarios!E8/scenarios!C$4</f>
        <v>4.3749691947481573E-2</v>
      </c>
      <c r="G4" s="412">
        <f>scenarios!F8/scenarios!F$4</f>
        <v>1.4329948762180251</v>
      </c>
      <c r="H4" s="412">
        <f>scenarios!G8/scenarios!G$4</f>
        <v>1.2780955170016801</v>
      </c>
      <c r="I4" s="412">
        <f>scenarios!H8/scenarios!H$4</f>
        <v>1.1210411294368863</v>
      </c>
      <c r="J4" s="412">
        <f>scenarios!I8/scenarios!I$4</f>
        <v>6.3985646441956936</v>
      </c>
      <c r="K4" s="412">
        <f>scenarios!J8/scenarios!J$4</f>
        <v>1.4556267030196848</v>
      </c>
      <c r="L4" s="412">
        <f>scenarios!K8/scenarios!K$4</f>
        <v>1.4576498397038522</v>
      </c>
      <c r="M4" s="412">
        <f>scenarios!L8/scenarios!L$4</f>
        <v>1.2929540380166895</v>
      </c>
      <c r="N4" s="412">
        <f>scenarios!M8/scenarios!M$4</f>
        <v>1.1693675652142581</v>
      </c>
    </row>
    <row r="5" spans="1:14" x14ac:dyDescent="0.25">
      <c r="A5" s="415"/>
      <c r="B5" t="str">
        <f>CONCATENATE(scenarios!A9)</f>
        <v>Transition 2030 (UBA17)</v>
      </c>
      <c r="C5" s="363">
        <v>2018</v>
      </c>
      <c r="D5">
        <v>2030</v>
      </c>
      <c r="E5" s="412">
        <f>scenarios!C9/scenarios!$C$4</f>
        <v>1.238160031805676</v>
      </c>
      <c r="F5" s="412">
        <f>scenarios!E9/scenarios!C$4</f>
        <v>-6.9999507115970527E-2</v>
      </c>
      <c r="G5" s="412">
        <f>scenarios!F9/scenarios!F$4</f>
        <v>1.6267019405094518</v>
      </c>
      <c r="H5" s="412">
        <f>scenarios!G9/scenarios!G$4</f>
        <v>1.2351172161904129</v>
      </c>
      <c r="I5" s="412">
        <f>scenarios!H9/scenarios!H$4</f>
        <v>2.4164944223502589</v>
      </c>
      <c r="J5" s="412">
        <f>scenarios!I9/scenarios!I$4</f>
        <v>7.5600202726800614</v>
      </c>
      <c r="K5" s="412">
        <f>scenarios!J9/scenarios!J$4</f>
        <v>1.6837894849137951</v>
      </c>
      <c r="L5" s="412">
        <f>scenarios!K9/scenarios!K$4</f>
        <v>1.6132756914245137</v>
      </c>
      <c r="M5" s="412">
        <f>scenarios!L9/scenarios!L$4</f>
        <v>1.2494760922436032</v>
      </c>
      <c r="N5" s="412">
        <f>scenarios!M9/scenarios!M$4</f>
        <v>1.1300454407656739</v>
      </c>
    </row>
    <row r="6" spans="1:14" x14ac:dyDescent="0.25">
      <c r="A6" s="415"/>
      <c r="B6" t="str">
        <f>CONCATENATE(scenarios!A10)</f>
        <v>Energie und Klimazukunft 2050 (Veigl17)</v>
      </c>
      <c r="C6" s="363">
        <v>2018</v>
      </c>
      <c r="D6">
        <v>2050</v>
      </c>
      <c r="E6" s="412">
        <f>scenarios!C10/scenarios!$C$4</f>
        <v>1.3197351278613954</v>
      </c>
      <c r="F6" s="412">
        <f>scenarios!E10/scenarios!C$4</f>
        <v>0</v>
      </c>
      <c r="G6" s="412">
        <f>scenarios!F10/scenarios!F$4</f>
        <v>2.1835588323011881</v>
      </c>
      <c r="H6" s="412">
        <f>scenarios!G10/scenarios!G$4</f>
        <v>1.2621516911228507</v>
      </c>
      <c r="I6" s="412">
        <f>scenarios!H10/scenarios!H$4</f>
        <v>3.1269112973872009</v>
      </c>
      <c r="J6" s="412">
        <f>scenarios!I10/scenarios!I$4</f>
        <v>23.072687569218065</v>
      </c>
      <c r="K6" s="412">
        <f>scenarios!J10/scenarios!J$4</f>
        <v>2.4081808624528747</v>
      </c>
      <c r="L6" s="412">
        <f>scenarios!K10/scenarios!K$4</f>
        <v>1.7150148542442805</v>
      </c>
      <c r="M6" s="412">
        <f>scenarios!L10/scenarios!L$4</f>
        <v>1.276824856920876</v>
      </c>
      <c r="N6" s="412">
        <f>scenarios!M10/scenarios!M$4</f>
        <v>1.1547800851706189</v>
      </c>
    </row>
    <row r="7" spans="1:14" x14ac:dyDescent="0.25">
      <c r="A7" s="415"/>
      <c r="B7" t="str">
        <f>CONCATENATE(scenarios!A11)</f>
        <v>Erneuerbare Energie 2050 (UBA16)</v>
      </c>
      <c r="C7" s="363">
        <v>2018</v>
      </c>
      <c r="D7">
        <v>2050</v>
      </c>
      <c r="E7" s="412">
        <f>scenarios!C11/scenarios!$C$4</f>
        <v>1.2398662697916278</v>
      </c>
      <c r="F7" s="412">
        <f>scenarios!E11/scenarios!C$4</f>
        <v>-0.31062281282711918</v>
      </c>
      <c r="G7" s="412">
        <f>scenarios!F11/scenarios!F$4</f>
        <v>1.9280397569196674</v>
      </c>
      <c r="H7" s="412">
        <f>scenarios!G11/scenarios!G$4</f>
        <v>1.3272950042130625</v>
      </c>
      <c r="I7" s="412">
        <f>scenarios!H11/scenarios!H$4</f>
        <v>3.2962856593290075</v>
      </c>
      <c r="J7" s="412">
        <f>scenarios!I11/scenarios!I$4</f>
        <v>16.581050049743151</v>
      </c>
      <c r="K7" s="412">
        <f>scenarios!J11/scenarios!J$4</f>
        <v>2.2453101457911737</v>
      </c>
      <c r="L7" s="412">
        <f>scenarios!K11/scenarios!K$4</f>
        <v>0.93405936418852886</v>
      </c>
      <c r="M7" s="412">
        <f>scenarios!L11/scenarios!L$4</f>
        <v>1.3427254946974374</v>
      </c>
      <c r="N7" s="412">
        <f>scenarios!M11/scenarios!M$4</f>
        <v>1.2143816379536185</v>
      </c>
    </row>
    <row r="8" spans="1:14" x14ac:dyDescent="0.25">
      <c r="A8" s="415"/>
      <c r="B8" t="str">
        <f>CONCATENATE(scenarios!A12)</f>
        <v>WEM 2050 (UBA17)</v>
      </c>
      <c r="C8" s="363">
        <v>2018</v>
      </c>
      <c r="D8">
        <v>2050</v>
      </c>
      <c r="E8" s="412">
        <f>scenarios!C12/scenarios!$C$4</f>
        <v>1.3947183044397389</v>
      </c>
      <c r="F8" s="412">
        <f>scenarios!E12/scenarios!C$4</f>
        <v>0.17062379859517815</v>
      </c>
      <c r="G8" s="412">
        <f>scenarios!F12/scenarios!F$4</f>
        <v>1.5221667149755598</v>
      </c>
      <c r="H8" s="412">
        <f>scenarios!G12/scenarios!G$4</f>
        <v>1.2780955170016801</v>
      </c>
      <c r="I8" s="412">
        <f>scenarios!H12/scenarios!H$4</f>
        <v>1.189268596772932</v>
      </c>
      <c r="J8" s="412">
        <f>scenarios!I12/scenarios!I$4</f>
        <v>12.107686098823059</v>
      </c>
      <c r="K8" s="412">
        <f>scenarios!J12/scenarios!J$4</f>
        <v>1.6815675993661172</v>
      </c>
      <c r="L8" s="412">
        <f>scenarios!K12/scenarios!K$4</f>
        <v>1.0201936332444821</v>
      </c>
      <c r="M8" s="412">
        <f>scenarios!L12/scenarios!L$4</f>
        <v>1.2929540380166895</v>
      </c>
      <c r="N8" s="412">
        <f>scenarios!M12/scenarios!M$4</f>
        <v>1.1693675652142581</v>
      </c>
    </row>
    <row r="9" spans="1:14" x14ac:dyDescent="0.25">
      <c r="A9" s="415"/>
      <c r="B9" t="str">
        <f>CONCATENATE(scenarios!A13)</f>
        <v>Transition 2050 (UBA17)</v>
      </c>
      <c r="C9" s="363">
        <v>2018</v>
      </c>
      <c r="D9">
        <v>2050</v>
      </c>
      <c r="E9" s="412">
        <f>scenarios!C13/scenarios!$C$4</f>
        <v>1.8239246572905068</v>
      </c>
      <c r="F9" s="412">
        <f>scenarios!E13/scenarios!C$4</f>
        <v>0</v>
      </c>
      <c r="G9" s="412">
        <f>scenarios!F13/scenarios!F$4</f>
        <v>2.2680580549091687</v>
      </c>
      <c r="H9" s="412">
        <f>scenarios!G13/scenarios!G$4</f>
        <v>1.3779276443124293</v>
      </c>
      <c r="I9" s="412">
        <f>scenarios!H13/scenarios!H$4</f>
        <v>4.4323967640463575</v>
      </c>
      <c r="J9" s="412">
        <f>scenarios!I13/scenarios!I$4</f>
        <v>18.623178430869537</v>
      </c>
      <c r="K9" s="412">
        <f>scenarios!J13/scenarios!J$4</f>
        <v>2.5547352817742701</v>
      </c>
      <c r="L9" s="412">
        <f>scenarios!K13/scenarios!K$4</f>
        <v>1.5327701188628553</v>
      </c>
      <c r="M9" s="412">
        <f>scenarios!L13/scenarios!L$4</f>
        <v>1.3939467654092697</v>
      </c>
      <c r="N9" s="412">
        <f>scenarios!M13/scenarios!M$4</f>
        <v>1.260706944854205</v>
      </c>
    </row>
    <row r="10" spans="1:14" x14ac:dyDescent="0.25">
      <c r="A10" s="415"/>
      <c r="B10" t="str">
        <f>CONCATENATE(scenarios!A14)</f>
        <v>100% Erneuerbare Deckung 2050 (FLUCCO+)</v>
      </c>
      <c r="C10" s="363">
        <v>2018</v>
      </c>
      <c r="D10">
        <v>2050</v>
      </c>
      <c r="E10" s="412">
        <f>scenarios!C14/scenarios!$C$4</f>
        <v>1.3759892810072392</v>
      </c>
      <c r="F10" s="412">
        <f>scenarios!E14/scenarios!C$4</f>
        <v>0</v>
      </c>
      <c r="G10" s="412">
        <f>scenarios!F14/scenarios!F$4</f>
        <v>1.7110485127676374</v>
      </c>
      <c r="H10" s="412">
        <f>scenarios!G14/scenarios!G$4</f>
        <v>0.99335613560972091</v>
      </c>
      <c r="I10" s="412">
        <f>scenarios!H14/scenarios!H$4</f>
        <v>3.7353471205762974</v>
      </c>
      <c r="J10" s="412">
        <f>scenarios!I14/scenarios!I$4</f>
        <v>19.457063279169653</v>
      </c>
      <c r="K10" s="412">
        <f>scenarios!J14/scenarios!J$4</f>
        <v>2.1595410875677117</v>
      </c>
      <c r="L10" s="412">
        <f>scenarios!K14/scenarios!K$4</f>
        <v>0.21313874614667561</v>
      </c>
      <c r="M10" s="412">
        <f>scenarios!L14/scenarios!L$4</f>
        <v>1.0049044141382077</v>
      </c>
      <c r="N10" s="412">
        <f>scenarios!M14/scenarios!M$4</f>
        <v>0.90885104457107391</v>
      </c>
    </row>
    <row r="11" spans="1:14" x14ac:dyDescent="0.25">
      <c r="A11" t="s">
        <v>702</v>
      </c>
      <c r="B11" t="str">
        <f>CONCATENATE(scenarios!A15)</f>
        <v>100% Erneuerbare Deckung 2050 inkl Methan (FLUCCO+)</v>
      </c>
      <c r="C11" s="363">
        <v>2018</v>
      </c>
      <c r="D11">
        <v>2050</v>
      </c>
      <c r="E11" s="412">
        <f>scenarios!C15/scenarios!$C$4</f>
        <v>1.8383865701037312</v>
      </c>
      <c r="F11" s="412">
        <f>scenarios!E15/scenarios!C$4</f>
        <v>0</v>
      </c>
      <c r="G11" s="412">
        <f>scenarios!F15/scenarios!F$4</f>
        <v>2.2860415048912275</v>
      </c>
      <c r="H11" s="412">
        <f>scenarios!G15/scenarios!G$4</f>
        <v>1.4411902783956245</v>
      </c>
      <c r="I11" s="412">
        <f>scenarios!H15/scenarios!H$4</f>
        <v>4.7276278611905402</v>
      </c>
      <c r="J11" s="412">
        <f>scenarios!I15/scenarios!I$4</f>
        <v>24.902173434837461</v>
      </c>
      <c r="K11" s="412">
        <f>scenarios!J15/scenarios!J$4</f>
        <v>2.8912336841305595</v>
      </c>
      <c r="L11" s="412">
        <f>scenarios!K15/scenarios!K$4</f>
        <v>0.21310266939254133</v>
      </c>
      <c r="M11" s="412">
        <f>scenarios!L15/scenarios!L$4</f>
        <v>1.4579448603132612</v>
      </c>
      <c r="N11" s="412">
        <f>scenarios!M15/scenarios!M$4</f>
        <v>1.3185878085321028</v>
      </c>
    </row>
    <row r="12" spans="1:14" x14ac:dyDescent="0.25">
      <c r="A12" s="415" t="s">
        <v>698</v>
      </c>
      <c r="B12" t="str">
        <f>CONCATENATE(scenarios!A6)</f>
        <v>Energie und Klimazukunft 2030 (Veigl17)</v>
      </c>
      <c r="C12" s="363">
        <v>2019</v>
      </c>
      <c r="D12">
        <v>2030</v>
      </c>
      <c r="E12" s="412">
        <f>scenarios!C6/scenarios!C$5</f>
        <v>1.3155041873554014</v>
      </c>
      <c r="F12" s="412">
        <f>scenarios!E6/scenarios!E$5</f>
        <v>0</v>
      </c>
      <c r="G12" s="412">
        <f>scenarios!F6/scenarios!F$5</f>
        <v>1.5149299281240221</v>
      </c>
      <c r="H12" s="412">
        <f>scenarios!G6/scenarios!G$5</f>
        <v>1.2400659119833537</v>
      </c>
      <c r="I12" s="412">
        <f>scenarios!H6/scenarios!H$5</f>
        <v>1.5149912613190106</v>
      </c>
      <c r="J12" s="412">
        <f>scenarios!I6/scenarios!I$5</f>
        <v>9.6431914351689301</v>
      </c>
      <c r="K12" s="412">
        <f>scenarios!J6/scenarios!J$5</f>
        <v>1.5604765524182156</v>
      </c>
      <c r="L12" s="412">
        <f>scenarios!K6/scenarios!K$5</f>
        <v>1.3952893848045242</v>
      </c>
      <c r="M12" s="412">
        <f>scenarios!L6/scenarios!L$5</f>
        <v>1.2285905735406351</v>
      </c>
      <c r="N12" s="412">
        <f>scenarios!M6/scenarios!M$5</f>
        <v>1.3414399842898104</v>
      </c>
    </row>
    <row r="13" spans="1:14" x14ac:dyDescent="0.25">
      <c r="A13" s="415"/>
      <c r="B13" t="str">
        <f>CONCATENATE(scenarios!A7)</f>
        <v>Erneuerbare Energie 2030 (UBA16)</v>
      </c>
      <c r="C13" s="363">
        <v>2019</v>
      </c>
      <c r="D13">
        <v>2030</v>
      </c>
      <c r="E13" s="412">
        <f>scenarios!C7/scenarios!C$5</f>
        <v>1.229825046815729</v>
      </c>
      <c r="F13" s="412">
        <f>scenarios!E7/scenarios!E$5</f>
        <v>-4.4652550086081169</v>
      </c>
      <c r="G13" s="412">
        <f>scenarios!F7/scenarios!F$5</f>
        <v>1.6116256358091241</v>
      </c>
      <c r="H13" s="412">
        <f>scenarios!G7/scenarios!G$5</f>
        <v>1.2304654016970311</v>
      </c>
      <c r="I13" s="412">
        <f>scenarios!H7/scenarios!H$5</f>
        <v>2.2090686531326038</v>
      </c>
      <c r="J13" s="412">
        <f>scenarios!I7/scenarios!I$5</f>
        <v>11.194487448652627</v>
      </c>
      <c r="K13" s="412">
        <f>scenarios!J7/scenarios!J$5</f>
        <v>1.7394689543241466</v>
      </c>
      <c r="L13" s="412">
        <f>scenarios!K7/scenarios!K$5</f>
        <v>1.204787864878466</v>
      </c>
      <c r="M13" s="412">
        <f>scenarios!L7/scenarios!L$5</f>
        <v>1.2190789045841917</v>
      </c>
      <c r="N13" s="412">
        <f>scenarios!M7/scenarios!M$5</f>
        <v>1.3310546424759537</v>
      </c>
    </row>
    <row r="14" spans="1:14" x14ac:dyDescent="0.25">
      <c r="A14" s="415"/>
      <c r="B14" t="str">
        <f>CONCATENATE(scenarios!A8)</f>
        <v>WEM 2030 (UBA17)</v>
      </c>
      <c r="C14" s="363">
        <v>2019</v>
      </c>
      <c r="D14">
        <v>2030</v>
      </c>
      <c r="E14" s="412">
        <f>scenarios!C8/scenarios!C$5</f>
        <v>1.276049666412173</v>
      </c>
      <c r="F14" s="412">
        <f>scenarios!E8/scenarios!E$5</f>
        <v>0.8772603160330289</v>
      </c>
      <c r="G14" s="412">
        <f>scenarios!F8/scenarios!F$5</f>
        <v>1.3502183173494482</v>
      </c>
      <c r="H14" s="412">
        <f>scenarios!G8/scenarios!G$5</f>
        <v>1.255730744600537</v>
      </c>
      <c r="I14" s="412">
        <f>scenarios!H8/scenarios!H$5</f>
        <v>0.9094527774052934</v>
      </c>
      <c r="J14" s="412">
        <f>scenarios!I8/scenarios!I$5</f>
        <v>6.8600825331406092</v>
      </c>
      <c r="K14" s="412">
        <f>scenarios!J8/scenarios!J$5</f>
        <v>1.3629992245198195</v>
      </c>
      <c r="L14" s="412">
        <f>scenarios!K8/scenarios!K$5</f>
        <v>1.2970827374935381</v>
      </c>
      <c r="M14" s="412">
        <f>scenarios!L8/scenarios!L$5</f>
        <v>1.2441104467212325</v>
      </c>
      <c r="N14" s="412">
        <f>scenarios!M8/scenarios!M$5</f>
        <v>1.3583854003494196</v>
      </c>
    </row>
    <row r="15" spans="1:14" x14ac:dyDescent="0.25">
      <c r="A15" s="415"/>
      <c r="B15" t="str">
        <f>CONCATENATE(scenarios!A9)</f>
        <v>Transition 2030 (UBA17)</v>
      </c>
      <c r="C15" s="363">
        <v>2019</v>
      </c>
      <c r="D15">
        <v>2030</v>
      </c>
      <c r="E15" s="412">
        <f>scenarios!C9/scenarios!C$5</f>
        <v>1.3208834402251213</v>
      </c>
      <c r="F15" s="412">
        <f>scenarios!E9/scenarios!E$5</f>
        <v>-1.4036165056528462</v>
      </c>
      <c r="G15" s="412">
        <f>scenarios!F9/scenarios!F$5</f>
        <v>1.5327359458119789</v>
      </c>
      <c r="H15" s="412">
        <f>scenarios!G9/scenarios!G$5</f>
        <v>1.2135045001911942</v>
      </c>
      <c r="I15" s="412">
        <f>scenarios!H9/scenarios!H$5</f>
        <v>1.9603986921467997</v>
      </c>
      <c r="J15" s="412">
        <f>scenarios!I9/scenarios!I$5</f>
        <v>8.1053120358559028</v>
      </c>
      <c r="K15" s="412">
        <f>scenarios!J9/scenarios!J$5</f>
        <v>1.5766430757495475</v>
      </c>
      <c r="L15" s="412">
        <f>scenarios!K9/scenarios!K$5</f>
        <v>1.4355656572430511</v>
      </c>
      <c r="M15" s="412">
        <f>scenarios!L9/scenarios!L$5</f>
        <v>1.2022749560944745</v>
      </c>
      <c r="N15" s="412">
        <f>scenarios!M9/scenarios!M$5</f>
        <v>1.3127072052714737</v>
      </c>
    </row>
    <row r="16" spans="1:14" x14ac:dyDescent="0.25">
      <c r="A16" s="415"/>
      <c r="B16" t="str">
        <f>CONCATENATE(scenarios!A10)</f>
        <v>Energie und Klimazukunft 2050 (Veigl17)</v>
      </c>
      <c r="C16" s="363">
        <v>2019</v>
      </c>
      <c r="D16">
        <v>2050</v>
      </c>
      <c r="E16" s="412">
        <f>scenarios!C10/scenarios!C$5</f>
        <v>1.4079086960457552</v>
      </c>
      <c r="F16" s="412">
        <f>scenarios!E10/scenarios!E$5</f>
        <v>0</v>
      </c>
      <c r="G16" s="412">
        <f>scenarios!F10/scenarios!F$5</f>
        <v>2.0574261508627099</v>
      </c>
      <c r="H16" s="412">
        <f>scenarios!G10/scenarios!G$5</f>
        <v>1.2400659119833537</v>
      </c>
      <c r="I16" s="412">
        <f>scenarios!H10/scenarios!H$5</f>
        <v>2.5367295538364827</v>
      </c>
      <c r="J16" s="412">
        <f>scenarios!I10/scenarios!I$5</f>
        <v>24.736882377172471</v>
      </c>
      <c r="K16" s="412">
        <f>scenarios!J10/scenarios!J$5</f>
        <v>2.2549384682333282</v>
      </c>
      <c r="L16" s="412">
        <f>scenarios!K10/scenarios!K$5</f>
        <v>1.5260977646299492</v>
      </c>
      <c r="M16" s="412">
        <f>scenarios!L10/scenarios!L$5</f>
        <v>1.2285905735406351</v>
      </c>
      <c r="N16" s="412">
        <f>scenarios!M10/scenarios!M$5</f>
        <v>1.3414399842898104</v>
      </c>
    </row>
    <row r="17" spans="1:14" x14ac:dyDescent="0.25">
      <c r="A17" s="415"/>
      <c r="B17" t="str">
        <f>CONCATENATE(scenarios!A11)</f>
        <v>Erneuerbare Energie 2050 (UBA16)</v>
      </c>
      <c r="C17" s="363">
        <v>2019</v>
      </c>
      <c r="D17">
        <v>2050</v>
      </c>
      <c r="E17" s="412">
        <f>scenarios!C11/scenarios!C$5</f>
        <v>1.3227036746397631</v>
      </c>
      <c r="F17" s="412">
        <f>scenarios!E11/scenarios!E$5</f>
        <v>-6.2285482438345046</v>
      </c>
      <c r="G17" s="412">
        <f>scenarios!F11/scenarios!F$5</f>
        <v>1.816667065301379</v>
      </c>
      <c r="H17" s="412">
        <f>scenarios!G11/scenarios!G$5</f>
        <v>1.304069313892172</v>
      </c>
      <c r="I17" s="412">
        <f>scenarios!H11/scenarios!H$5</f>
        <v>2.6741357380026258</v>
      </c>
      <c r="J17" s="412">
        <f>scenarios!I11/scenarios!I$5</f>
        <v>17.777013776137505</v>
      </c>
      <c r="K17" s="412">
        <f>scenarios!J11/scenarios!J$5</f>
        <v>2.1024318811761082</v>
      </c>
      <c r="L17" s="412">
        <f>scenarios!K11/scenarios!K$5</f>
        <v>0.83116825734312116</v>
      </c>
      <c r="M17" s="412">
        <f>scenarios!L11/scenarios!L$5</f>
        <v>1.2920016999169259</v>
      </c>
      <c r="N17" s="412">
        <f>scenarios!M11/scenarios!M$5</f>
        <v>1.4106755963821875</v>
      </c>
    </row>
    <row r="18" spans="1:14" x14ac:dyDescent="0.25">
      <c r="A18" s="415"/>
      <c r="B18" t="str">
        <f>CONCATENATE(scenarios!A12)</f>
        <v>WEM 2050 (UBA17)</v>
      </c>
      <c r="C18" s="363">
        <v>2019</v>
      </c>
      <c r="D18">
        <v>2050</v>
      </c>
      <c r="E18" s="412">
        <f>scenarios!C12/scenarios!C$5</f>
        <v>1.4879016159378382</v>
      </c>
      <c r="F18" s="412">
        <f>scenarios!E12/scenarios!E$5</f>
        <v>3.4213152325288125</v>
      </c>
      <c r="G18" s="412">
        <f>scenarios!F12/scenarios!F$5</f>
        <v>1.4342391691196372</v>
      </c>
      <c r="H18" s="412">
        <f>scenarios!G12/scenarios!G$5</f>
        <v>1.255730744600537</v>
      </c>
      <c r="I18" s="412">
        <f>scenarios!H12/scenarios!H$5</f>
        <v>0.96480280697580889</v>
      </c>
      <c r="J18" s="412">
        <f>scenarios!I12/scenarios!I$5</f>
        <v>12.980993479315879</v>
      </c>
      <c r="K18" s="412">
        <f>scenarios!J12/scenarios!J$5</f>
        <v>1.5745625778635342</v>
      </c>
      <c r="L18" s="412">
        <f>scenarios!K12/scenarios!K$5</f>
        <v>0.90781442465707596</v>
      </c>
      <c r="M18" s="412">
        <f>scenarios!L12/scenarios!L$5</f>
        <v>1.2441104467212325</v>
      </c>
      <c r="N18" s="412">
        <f>scenarios!M12/scenarios!M$5</f>
        <v>1.3583854003494196</v>
      </c>
    </row>
    <row r="19" spans="1:14" x14ac:dyDescent="0.25">
      <c r="A19" s="415"/>
      <c r="B19" t="str">
        <f>CONCATENATE(scenarios!A13)</f>
        <v>Transition 2050 (UBA17)</v>
      </c>
      <c r="C19" s="363">
        <v>2019</v>
      </c>
      <c r="D19">
        <v>2050</v>
      </c>
      <c r="E19" s="412">
        <f>scenarios!C13/scenarios!C$5</f>
        <v>1.9457839165748669</v>
      </c>
      <c r="F19" s="412">
        <f>scenarios!E13/scenarios!E$5</f>
        <v>0</v>
      </c>
      <c r="G19" s="412">
        <f>scenarios!F13/scenarios!F$5</f>
        <v>2.1370442988830276</v>
      </c>
      <c r="H19" s="412">
        <f>scenarios!G13/scenarios!G$5</f>
        <v>1.3538159580258009</v>
      </c>
      <c r="I19" s="412">
        <f>scenarios!H13/scenarios!H$5</f>
        <v>3.5958141425632144</v>
      </c>
      <c r="J19" s="412">
        <f>scenarios!I13/scenarios!I$5</f>
        <v>19.966437501113685</v>
      </c>
      <c r="K19" s="412">
        <f>scenarios!J13/scenarios!J$5</f>
        <v>2.3921670306598264</v>
      </c>
      <c r="L19" s="412">
        <f>scenarios!K13/scenarios!K$5</f>
        <v>1.3639281585808376</v>
      </c>
      <c r="M19" s="412">
        <f>scenarios!L13/scenarios!L$5</f>
        <v>1.341287997892898</v>
      </c>
      <c r="N19" s="412">
        <f>scenarios!M13/scenarios!M$5</f>
        <v>1.4644889758809876</v>
      </c>
    </row>
    <row r="20" spans="1:14" x14ac:dyDescent="0.25">
      <c r="A20" s="415"/>
      <c r="B20" t="str">
        <f>CONCATENATE(scenarios!A14)</f>
        <v>100% Erneuerbare Deckung 2050 (FLUCCO+)</v>
      </c>
      <c r="C20" s="363">
        <v>2019</v>
      </c>
      <c r="D20">
        <v>2050</v>
      </c>
      <c r="E20" s="412">
        <f>scenarios!C14/scenarios!C$5</f>
        <v>1.4679212771544103</v>
      </c>
      <c r="F20" s="412">
        <f>scenarios!E14/scenarios!E$5</f>
        <v>0</v>
      </c>
      <c r="G20" s="412">
        <f>scenarios!F14/scenarios!F$5</f>
        <v>1.6122102612883962</v>
      </c>
      <c r="H20" s="412">
        <f>scenarios!G14/scenarios!G$5</f>
        <v>0.97597387928328605</v>
      </c>
      <c r="I20" s="412">
        <f>scenarios!H14/scenarios!H$5</f>
        <v>3.0303275447952549</v>
      </c>
      <c r="J20" s="412">
        <f>scenarios!I14/scenarios!I$5</f>
        <v>20.860469084847619</v>
      </c>
      <c r="K20" s="412">
        <f>scenarios!J14/scenarios!J$5</f>
        <v>2.0221206587975553</v>
      </c>
      <c r="L20" s="412">
        <f>scenarios!K14/scenarios!K$5</f>
        <v>0.18966049375345029</v>
      </c>
      <c r="M20" s="412">
        <f>scenarios!L14/scenarios!L$5</f>
        <v>0.96694239920807301</v>
      </c>
      <c r="N20" s="412">
        <f>scenarios!M14/scenarios!M$5</f>
        <v>1.0557587081795463</v>
      </c>
    </row>
    <row r="21" spans="1:14" x14ac:dyDescent="0.25">
      <c r="B21" t="str">
        <f>CONCATENATE(scenarios!A15)</f>
        <v>100% Erneuerbare Deckung 2050 inkl Methan (FLUCCO+)</v>
      </c>
      <c r="C21" s="363">
        <v>2019</v>
      </c>
      <c r="D21">
        <v>2050</v>
      </c>
      <c r="E21" s="412">
        <f>scenarios!C15/scenarios!C$5</f>
        <v>1.9612120524040533</v>
      </c>
      <c r="F21" s="412">
        <f>scenarios!E15/scenarios!E$5</f>
        <v>0</v>
      </c>
      <c r="G21" s="412">
        <f>scenarios!F15/scenarios!F$5</f>
        <v>2.1539889397731593</v>
      </c>
      <c r="H21" s="413">
        <f>scenarios!G15/scenarios!G$5</f>
        <v>1.4159715900156888</v>
      </c>
      <c r="I21" s="412">
        <f>scenarios!H15/scenarios!H$5</f>
        <v>3.8353225193959712</v>
      </c>
      <c r="J21" s="412">
        <f>scenarios!I15/scenarios!I$5</f>
        <v>26.698326033563141</v>
      </c>
      <c r="K21" s="412">
        <f>scenarios!J15/scenarios!J$5</f>
        <v>2.7072526638873025</v>
      </c>
      <c r="L21" s="412">
        <f>scenarios!K15/scenarios!K$5</f>
        <v>0.18962839102634962</v>
      </c>
      <c r="M21" s="412">
        <f>scenarios!L15/scenarios!L$5</f>
        <v>1.4028684532681299</v>
      </c>
      <c r="N21" s="412">
        <f>scenarios!M15/scenarios!M$5</f>
        <v>1.5317257648244755</v>
      </c>
    </row>
  </sheetData>
  <mergeCells count="2">
    <mergeCell ref="A2:A10"/>
    <mergeCell ref="A12:A20"/>
  </mergeCells>
  <conditionalFormatting sqref="E2:N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{0A510291-D79C-4450-B28C-9978F8322017}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10291-D79C-4450-B28C-9978F8322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E2:N21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B1" zoomScaleNormal="100" workbookViewId="0">
      <selection activeCell="N15" sqref="N15"/>
    </sheetView>
  </sheetViews>
  <sheetFormatPr baseColWidth="10" defaultRowHeight="15" x14ac:dyDescent="0.25"/>
  <cols>
    <col min="1" max="1" width="48.140625" customWidth="1"/>
    <col min="3" max="4" width="14.42578125" customWidth="1"/>
    <col min="5" max="5" width="9.42578125" customWidth="1"/>
    <col min="6" max="6" width="14.42578125" customWidth="1"/>
    <col min="7" max="10" width="11" customWidth="1"/>
    <col min="11" max="11" width="14.5703125" customWidth="1"/>
    <col min="12" max="13" width="11" customWidth="1"/>
  </cols>
  <sheetData>
    <row r="1" spans="1:16" x14ac:dyDescent="0.25">
      <c r="A1" t="s">
        <v>684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138</v>
      </c>
      <c r="I1" t="s">
        <v>1</v>
      </c>
      <c r="J1" t="s">
        <v>695</v>
      </c>
      <c r="K1" t="s">
        <v>682</v>
      </c>
      <c r="L1" t="s">
        <v>704</v>
      </c>
      <c r="M1" t="s">
        <v>679</v>
      </c>
      <c r="N1" t="s">
        <v>705</v>
      </c>
      <c r="O1" t="s">
        <v>706</v>
      </c>
      <c r="P1" t="s">
        <v>707</v>
      </c>
    </row>
    <row r="2" spans="1:16" x14ac:dyDescent="0.25">
      <c r="A2" t="s">
        <v>696</v>
      </c>
      <c r="B2">
        <v>2015</v>
      </c>
    </row>
    <row r="3" spans="1:16" ht="15.75" thickBot="1" x14ac:dyDescent="0.3">
      <c r="A3" t="s">
        <v>694</v>
      </c>
      <c r="B3">
        <v>2018</v>
      </c>
    </row>
    <row r="4" spans="1:16" ht="15.75" thickBot="1" x14ac:dyDescent="0.3">
      <c r="A4" s="410" t="s">
        <v>697</v>
      </c>
      <c r="C4" s="252">
        <v>228.573038</v>
      </c>
      <c r="D4" s="252">
        <f>C4-E4-F4</f>
        <v>7.8750560000000007</v>
      </c>
      <c r="E4" s="407">
        <v>36.884345000000003</v>
      </c>
      <c r="F4" s="252">
        <v>183.813637</v>
      </c>
      <c r="G4" s="407">
        <v>122.806158</v>
      </c>
      <c r="H4" s="407">
        <v>23.025917</v>
      </c>
      <c r="I4" s="407">
        <v>5.1142719999999997</v>
      </c>
      <c r="J4" s="407">
        <f>H4+I4+L4</f>
        <v>136.18163200000001</v>
      </c>
      <c r="K4" s="407">
        <f t="shared" ref="K4:K15" si="0">F4-SUM(G4:I4)</f>
        <v>32.867289999999997</v>
      </c>
      <c r="L4" s="407">
        <v>108.041443</v>
      </c>
      <c r="M4" s="407">
        <v>14.764716</v>
      </c>
      <c r="N4" s="414">
        <f>C4-J4</f>
        <v>92.391405999999989</v>
      </c>
      <c r="O4" s="414">
        <f>N4-M4</f>
        <v>77.626689999999996</v>
      </c>
      <c r="P4" s="414">
        <f>O4-K4</f>
        <v>44.759399999999999</v>
      </c>
    </row>
    <row r="5" spans="1:16" ht="15.75" thickBot="1" x14ac:dyDescent="0.3">
      <c r="A5" s="411" t="s">
        <v>698</v>
      </c>
      <c r="C5" s="252">
        <v>214.258118</v>
      </c>
      <c r="D5" s="252">
        <f t="shared" ref="D5:D15" si="1">C5-E5-F5</f>
        <v>7.7764669999999967</v>
      </c>
      <c r="E5" s="407">
        <v>11.399125</v>
      </c>
      <c r="F5" s="252">
        <v>195.082526</v>
      </c>
      <c r="G5" s="407">
        <v>124.99335600000001</v>
      </c>
      <c r="H5" s="407">
        <v>28.383002000000001</v>
      </c>
      <c r="I5" s="407">
        <v>4.7702049999999998</v>
      </c>
      <c r="J5" s="407">
        <f>H5+I5+L5</f>
        <v>145.436341</v>
      </c>
      <c r="K5" s="407">
        <f t="shared" si="0"/>
        <v>36.935962999999987</v>
      </c>
      <c r="L5" s="407">
        <v>112.283134</v>
      </c>
      <c r="M5" s="407">
        <v>12.710222</v>
      </c>
      <c r="N5" s="414">
        <f>C5-J5</f>
        <v>68.821776999999997</v>
      </c>
      <c r="O5" s="414">
        <f>N5-M5</f>
        <v>56.111554999999996</v>
      </c>
      <c r="P5" s="414">
        <f>O5-K5</f>
        <v>19.175592000000009</v>
      </c>
    </row>
    <row r="6" spans="1:16" x14ac:dyDescent="0.25">
      <c r="A6" t="s">
        <v>685</v>
      </c>
      <c r="B6">
        <v>2030</v>
      </c>
      <c r="C6" s="252">
        <f>(82.1-3.8)*1000/277.8</f>
        <v>281.85745140388769</v>
      </c>
      <c r="D6" s="252">
        <f t="shared" si="1"/>
        <v>-13.678905687544955</v>
      </c>
      <c r="E6" s="407"/>
      <c r="F6" s="252">
        <v>295.53635709143265</v>
      </c>
      <c r="G6" s="407">
        <v>155</v>
      </c>
      <c r="H6" s="407">
        <v>43</v>
      </c>
      <c r="I6" s="407">
        <v>46</v>
      </c>
      <c r="J6" s="407">
        <f>H6+I6+L6</f>
        <v>226.95</v>
      </c>
      <c r="K6" s="407">
        <f t="shared" si="0"/>
        <v>51.536357091432649</v>
      </c>
      <c r="L6" s="407">
        <f>G6*89%</f>
        <v>137.94999999999999</v>
      </c>
      <c r="M6" s="407">
        <f>G6*11%</f>
        <v>17.05</v>
      </c>
      <c r="N6" s="414">
        <f>C6-J6</f>
        <v>54.907451403887706</v>
      </c>
      <c r="O6" s="414">
        <f>N6-M6</f>
        <v>37.857451403887708</v>
      </c>
      <c r="P6" s="414">
        <f>O6-K6</f>
        <v>-13.67890568754494</v>
      </c>
    </row>
    <row r="7" spans="1:16" x14ac:dyDescent="0.25">
      <c r="A7" t="s">
        <v>686</v>
      </c>
      <c r="B7">
        <v>2030</v>
      </c>
      <c r="C7" s="252">
        <f>F7+E7</f>
        <v>263.5</v>
      </c>
      <c r="D7" s="252">
        <f t="shared" si="1"/>
        <v>0</v>
      </c>
      <c r="E7" s="407">
        <v>-50.9</v>
      </c>
      <c r="F7" s="252">
        <v>314.39999999999998</v>
      </c>
      <c r="G7" s="407">
        <v>153.80000000000001</v>
      </c>
      <c r="H7" s="407">
        <v>62.7</v>
      </c>
      <c r="I7" s="407">
        <v>53.4</v>
      </c>
      <c r="J7" s="407">
        <f>H7+I7+L7</f>
        <v>252.982</v>
      </c>
      <c r="K7" s="407">
        <f t="shared" si="0"/>
        <v>44.5</v>
      </c>
      <c r="L7" s="407">
        <f>G7*89%</f>
        <v>136.88200000000001</v>
      </c>
      <c r="M7" s="407">
        <f>G7*11%</f>
        <v>16.918000000000003</v>
      </c>
      <c r="N7" s="414">
        <f>C7-J7</f>
        <v>10.518000000000001</v>
      </c>
      <c r="O7" s="414">
        <f>N7-M7</f>
        <v>-6.4000000000000021</v>
      </c>
      <c r="P7" s="414">
        <f>O7-K7</f>
        <v>-50.900000000000006</v>
      </c>
    </row>
    <row r="8" spans="1:16" x14ac:dyDescent="0.25">
      <c r="A8" t="s">
        <v>687</v>
      </c>
      <c r="B8">
        <v>2030</v>
      </c>
      <c r="C8" s="252">
        <f>F8+E8</f>
        <v>273.404</v>
      </c>
      <c r="D8" s="252">
        <f t="shared" si="1"/>
        <v>0</v>
      </c>
      <c r="E8" s="407">
        <v>10</v>
      </c>
      <c r="F8" s="252">
        <v>263.404</v>
      </c>
      <c r="G8" s="407">
        <v>156.958</v>
      </c>
      <c r="H8" s="407">
        <v>25.812999999999999</v>
      </c>
      <c r="I8" s="407">
        <v>32.723999999999997</v>
      </c>
      <c r="J8" s="407">
        <f>H8+I8+L8</f>
        <v>198.22962000000001</v>
      </c>
      <c r="K8" s="407">
        <f t="shared" si="0"/>
        <v>47.90900000000002</v>
      </c>
      <c r="L8" s="407">
        <f>G8*89%</f>
        <v>139.69262000000001</v>
      </c>
      <c r="M8" s="407">
        <f>G8*11%</f>
        <v>17.26538</v>
      </c>
      <c r="N8" s="414">
        <f>C8-J8</f>
        <v>75.174379999999985</v>
      </c>
      <c r="O8" s="414">
        <f>N8-M8</f>
        <v>57.908999999999985</v>
      </c>
      <c r="P8" s="414">
        <f>O8-K8</f>
        <v>9.9999999999999645</v>
      </c>
    </row>
    <row r="9" spans="1:16" x14ac:dyDescent="0.25">
      <c r="A9" t="s">
        <v>688</v>
      </c>
      <c r="B9">
        <v>2030</v>
      </c>
      <c r="C9" s="252">
        <f>F9+E9</f>
        <v>283.01</v>
      </c>
      <c r="D9" s="252">
        <f t="shared" si="1"/>
        <v>0</v>
      </c>
      <c r="E9" s="407">
        <v>-16</v>
      </c>
      <c r="F9" s="252">
        <v>299.01</v>
      </c>
      <c r="G9" s="407">
        <v>151.68</v>
      </c>
      <c r="H9" s="407">
        <v>55.642000000000003</v>
      </c>
      <c r="I9" s="407">
        <v>38.664000000000001</v>
      </c>
      <c r="J9" s="407">
        <f>H9+I9+L9</f>
        <v>229.30120000000002</v>
      </c>
      <c r="K9" s="407">
        <f t="shared" si="0"/>
        <v>53.024000000000001</v>
      </c>
      <c r="L9" s="407">
        <f>G9*89%</f>
        <v>134.99520000000001</v>
      </c>
      <c r="M9" s="407">
        <f>G9*11%</f>
        <v>16.684799999999999</v>
      </c>
      <c r="N9" s="414">
        <f>C9-J9</f>
        <v>53.708799999999968</v>
      </c>
      <c r="O9" s="414">
        <f>N9-M9</f>
        <v>37.023999999999972</v>
      </c>
      <c r="P9" s="414">
        <f>O9-K9</f>
        <v>-16.000000000000028</v>
      </c>
    </row>
    <row r="10" spans="1:16" x14ac:dyDescent="0.25">
      <c r="A10" t="s">
        <v>689</v>
      </c>
      <c r="B10">
        <v>2050</v>
      </c>
      <c r="C10" s="252">
        <f>(111.5-27.7)*1000/277.8</f>
        <v>301.65586753059756</v>
      </c>
      <c r="D10" s="252">
        <f t="shared" si="1"/>
        <v>-99.712023038156929</v>
      </c>
      <c r="E10" s="407"/>
      <c r="F10" s="252">
        <f>111500/277.8</f>
        <v>401.36789056875449</v>
      </c>
      <c r="G10" s="407">
        <v>155</v>
      </c>
      <c r="H10" s="407">
        <v>72</v>
      </c>
      <c r="I10" s="407">
        <v>118</v>
      </c>
      <c r="J10" s="407">
        <f>H10+I10+L10</f>
        <v>327.95</v>
      </c>
      <c r="K10" s="407">
        <f t="shared" si="0"/>
        <v>56.36789056875449</v>
      </c>
      <c r="L10" s="407">
        <f>G10*89%</f>
        <v>137.94999999999999</v>
      </c>
      <c r="M10" s="407">
        <f>G10*11%</f>
        <v>17.05</v>
      </c>
      <c r="N10" s="414">
        <f>C10-J10</f>
        <v>-26.294132469402427</v>
      </c>
      <c r="O10" s="414">
        <f>N10-M10</f>
        <v>-43.344132469402425</v>
      </c>
      <c r="P10" s="414">
        <f>O10-K10</f>
        <v>-99.712023038156914</v>
      </c>
    </row>
    <row r="11" spans="1:16" x14ac:dyDescent="0.25">
      <c r="A11" t="s">
        <v>690</v>
      </c>
      <c r="B11">
        <v>2050</v>
      </c>
      <c r="C11" s="252">
        <f>F11+E11</f>
        <v>283.39999999999998</v>
      </c>
      <c r="D11" s="252">
        <f t="shared" si="1"/>
        <v>0</v>
      </c>
      <c r="E11" s="407">
        <v>-71</v>
      </c>
      <c r="F11" s="252">
        <v>354.4</v>
      </c>
      <c r="G11" s="407">
        <v>163</v>
      </c>
      <c r="H11" s="407">
        <v>75.900000000000006</v>
      </c>
      <c r="I11" s="407">
        <v>84.8</v>
      </c>
      <c r="J11" s="407">
        <f>H11+I11+L11</f>
        <v>305.77</v>
      </c>
      <c r="K11" s="407">
        <f t="shared" si="0"/>
        <v>30.699999999999989</v>
      </c>
      <c r="L11" s="407">
        <f>G11*89%</f>
        <v>145.07</v>
      </c>
      <c r="M11" s="407">
        <f>G11*11%</f>
        <v>17.93</v>
      </c>
      <c r="N11" s="414">
        <f>C11-J11</f>
        <v>-22.370000000000005</v>
      </c>
      <c r="O11" s="414">
        <f>N11-M11</f>
        <v>-40.300000000000004</v>
      </c>
      <c r="P11" s="414">
        <f>O11-K11</f>
        <v>-71</v>
      </c>
    </row>
    <row r="12" spans="1:16" x14ac:dyDescent="0.25">
      <c r="A12" t="s">
        <v>691</v>
      </c>
      <c r="B12">
        <v>2050</v>
      </c>
      <c r="C12" s="252">
        <f>F12+E12</f>
        <v>318.79500000000002</v>
      </c>
      <c r="D12" s="252">
        <f t="shared" si="1"/>
        <v>0</v>
      </c>
      <c r="E12" s="407">
        <v>39</v>
      </c>
      <c r="F12" s="252">
        <v>279.79500000000002</v>
      </c>
      <c r="G12" s="407">
        <v>156.958</v>
      </c>
      <c r="H12" s="407">
        <v>27.384</v>
      </c>
      <c r="I12" s="407">
        <v>61.921999999999997</v>
      </c>
      <c r="J12" s="407">
        <f>H12+I12+L12</f>
        <v>228.99862000000002</v>
      </c>
      <c r="K12" s="407">
        <f t="shared" si="0"/>
        <v>33.531000000000034</v>
      </c>
      <c r="L12" s="407">
        <f>G12*89%</f>
        <v>139.69262000000001</v>
      </c>
      <c r="M12" s="407">
        <f>G12*11%</f>
        <v>17.26538</v>
      </c>
      <c r="N12" s="414">
        <f>C12-J12</f>
        <v>89.796379999999999</v>
      </c>
      <c r="O12" s="414">
        <f>N12-M12</f>
        <v>72.531000000000006</v>
      </c>
      <c r="P12" s="414">
        <f>O12-K12</f>
        <v>38.999999999999972</v>
      </c>
    </row>
    <row r="13" spans="1:16" x14ac:dyDescent="0.25">
      <c r="A13" t="s">
        <v>692</v>
      </c>
      <c r="B13">
        <v>2050</v>
      </c>
      <c r="C13" s="252">
        <f>F13+E13</f>
        <v>416.9</v>
      </c>
      <c r="D13" s="252">
        <f t="shared" si="1"/>
        <v>0</v>
      </c>
      <c r="E13" s="407">
        <v>0</v>
      </c>
      <c r="F13" s="252">
        <v>416.9</v>
      </c>
      <c r="G13" s="407">
        <v>169.21799999999999</v>
      </c>
      <c r="H13" s="407">
        <v>102.06</v>
      </c>
      <c r="I13" s="407">
        <v>95.244</v>
      </c>
      <c r="J13" s="407">
        <f>H13+I13+L13</f>
        <v>347.90801999999996</v>
      </c>
      <c r="K13" s="407">
        <f t="shared" si="0"/>
        <v>50.377999999999929</v>
      </c>
      <c r="L13" s="407">
        <f>G13*89%</f>
        <v>150.60401999999999</v>
      </c>
      <c r="M13" s="407">
        <f>G13*11%</f>
        <v>18.613979999999998</v>
      </c>
      <c r="N13" s="414">
        <f>C13-J13</f>
        <v>68.991980000000012</v>
      </c>
      <c r="O13" s="414">
        <f>N13-M13</f>
        <v>50.378000000000014</v>
      </c>
      <c r="P13" s="414">
        <f>O13-K13</f>
        <v>8.5265128291212022E-14</v>
      </c>
    </row>
    <row r="14" spans="1:16" x14ac:dyDescent="0.25">
      <c r="A14" t="s">
        <v>693</v>
      </c>
      <c r="B14">
        <v>2050</v>
      </c>
      <c r="C14" s="407">
        <f>'Sankey2050 (PJ)'!D37</f>
        <v>314.51405021526034</v>
      </c>
      <c r="D14" s="252">
        <f t="shared" si="1"/>
        <v>0</v>
      </c>
      <c r="E14" s="407">
        <v>0</v>
      </c>
      <c r="F14" s="407">
        <f>'Sankey2050 (PJ)'!D37</f>
        <v>314.51405021526034</v>
      </c>
      <c r="G14" s="407">
        <f>'Sankey2050 (PJ)'!D31</f>
        <v>121.9902505399568</v>
      </c>
      <c r="H14" s="407">
        <f>'Sankey2050 (PJ)'!D32</f>
        <v>86.009792764578819</v>
      </c>
      <c r="I14" s="407">
        <f>'Sankey2050 (PJ)'!D34</f>
        <v>99.508713930885534</v>
      </c>
      <c r="J14" s="407">
        <f>H14+I14+L14</f>
        <v>294.08982967602589</v>
      </c>
      <c r="K14" s="407">
        <f t="shared" si="0"/>
        <v>7.0052929798391688</v>
      </c>
      <c r="L14" s="407">
        <f>G14*89%</f>
        <v>108.57132298056156</v>
      </c>
      <c r="M14" s="407">
        <f>G14*11%</f>
        <v>13.418927559395248</v>
      </c>
      <c r="N14" s="414">
        <f>C14-J14</f>
        <v>20.424220539234454</v>
      </c>
      <c r="O14" s="414">
        <f>N14-M14</f>
        <v>7.0052929798392061</v>
      </c>
      <c r="P14" s="414">
        <f>O14-K14</f>
        <v>3.730349362740526E-14</v>
      </c>
    </row>
    <row r="15" spans="1:16" x14ac:dyDescent="0.25">
      <c r="A15" t="s">
        <v>702</v>
      </c>
      <c r="B15">
        <v>2050</v>
      </c>
      <c r="C15" s="407">
        <f>'Sankey2050 (PJ)'!D37+'Sankey2050 (PJ)'!E37</f>
        <v>420.2056033470098</v>
      </c>
      <c r="D15" s="252">
        <f t="shared" si="1"/>
        <v>0</v>
      </c>
      <c r="E15" s="407">
        <v>0</v>
      </c>
      <c r="F15" s="407">
        <f>'Sankey2050 (PJ)'!D37+'Sankey2050 (PJ)'!E37</f>
        <v>420.2056033470098</v>
      </c>
      <c r="G15" s="407">
        <f>'Sankey2050 (PJ)'!C31</f>
        <v>176.98704103671705</v>
      </c>
      <c r="H15" s="407">
        <f>'Sankey2050 (PJ)'!D32+'Sankey2050 (PJ)'!E32</f>
        <v>108.85796673866089</v>
      </c>
      <c r="I15" s="407">
        <f>'Sankey2050 (PJ)'!D34+'Sankey2050 (PJ)'!E34</f>
        <v>127.35648833693305</v>
      </c>
      <c r="J15" s="407">
        <f>H15+I15+L15</f>
        <v>393.73292159827213</v>
      </c>
      <c r="K15" s="407">
        <f t="shared" si="0"/>
        <v>7.0041072346987789</v>
      </c>
      <c r="L15" s="407">
        <f>G15*89%</f>
        <v>157.51846652267818</v>
      </c>
      <c r="M15" s="407">
        <f>G15*11%</f>
        <v>19.468574514038874</v>
      </c>
      <c r="N15" s="414">
        <f>C15-J15</f>
        <v>26.472681748737671</v>
      </c>
      <c r="O15" s="414">
        <f>N15-M15</f>
        <v>7.0041072346987967</v>
      </c>
      <c r="P15" s="414">
        <f t="shared" ref="P15" si="2">O15-K15</f>
        <v>1.7763568394002505E-14</v>
      </c>
    </row>
    <row r="16" spans="1:16" x14ac:dyDescent="0.25">
      <c r="L16" s="407"/>
      <c r="M16" s="407"/>
    </row>
  </sheetData>
  <conditionalFormatting sqref="L16:M16 C4:M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{7554B8AF-EA9E-4EFD-9AE1-6D2488D8D388}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54B8AF-EA9E-4EFD-9AE1-6D2488D8D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L16:M16 C4:M15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topLeftCell="B1" zoomScaleNormal="100" workbookViewId="0">
      <selection activeCell="C42" sqref="C42"/>
    </sheetView>
  </sheetViews>
  <sheetFormatPr baseColWidth="10" defaultRowHeight="15" x14ac:dyDescent="0.25"/>
  <cols>
    <col min="1" max="1" width="19" customWidth="1"/>
    <col min="2" max="2" width="29.42578125" style="405" customWidth="1"/>
    <col min="4" max="15" width="10.5703125" customWidth="1"/>
    <col min="16" max="16" width="17.7109375" customWidth="1"/>
  </cols>
  <sheetData>
    <row r="1" spans="1:16" x14ac:dyDescent="0.25">
      <c r="A1" t="s">
        <v>673</v>
      </c>
      <c r="B1" s="405" t="s">
        <v>665</v>
      </c>
      <c r="C1" t="s">
        <v>664</v>
      </c>
      <c r="D1" t="s">
        <v>0</v>
      </c>
      <c r="E1" t="s">
        <v>138</v>
      </c>
      <c r="F1" t="s">
        <v>1</v>
      </c>
      <c r="G1" t="s">
        <v>139</v>
      </c>
      <c r="H1" t="s">
        <v>3</v>
      </c>
      <c r="I1" t="s">
        <v>140</v>
      </c>
      <c r="J1" t="s">
        <v>143</v>
      </c>
      <c r="K1" t="s">
        <v>74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</row>
    <row r="2" spans="1:16" ht="21" customHeight="1" x14ac:dyDescent="0.25">
      <c r="A2" t="s">
        <v>666</v>
      </c>
      <c r="B2" s="406" t="s">
        <v>127</v>
      </c>
      <c r="C2" s="95">
        <v>2010</v>
      </c>
      <c r="D2">
        <v>138</v>
      </c>
      <c r="E2">
        <v>7</v>
      </c>
      <c r="F2">
        <v>0</v>
      </c>
      <c r="G2">
        <v>237</v>
      </c>
      <c r="H2">
        <v>0</v>
      </c>
      <c r="I2">
        <v>13</v>
      </c>
      <c r="J2">
        <v>0</v>
      </c>
      <c r="K2">
        <v>344</v>
      </c>
      <c r="L2">
        <v>549</v>
      </c>
      <c r="M2">
        <v>143</v>
      </c>
      <c r="N2">
        <v>28</v>
      </c>
      <c r="O2">
        <v>0</v>
      </c>
      <c r="P2">
        <v>8</v>
      </c>
    </row>
    <row r="3" spans="1:16" x14ac:dyDescent="0.25">
      <c r="A3" t="s">
        <v>674</v>
      </c>
      <c r="B3" s="406" t="s">
        <v>674</v>
      </c>
      <c r="C3" s="96">
        <v>2017</v>
      </c>
      <c r="D3">
        <f>'EE2018'!B4</f>
        <v>139.30000000000001</v>
      </c>
      <c r="E3">
        <f>'EE2018'!B5</f>
        <v>22.4</v>
      </c>
      <c r="F3">
        <f>'EE2018'!B8</f>
        <v>4.5</v>
      </c>
      <c r="G3">
        <f>'EE2018'!B3</f>
        <v>267.39999999999998</v>
      </c>
      <c r="H3">
        <f>'EE2018'!B9</f>
        <v>0</v>
      </c>
      <c r="I3">
        <f>'EE2018'!B10</f>
        <v>18.2</v>
      </c>
      <c r="J3">
        <f>'EE2018'!B6</f>
        <v>0</v>
      </c>
    </row>
    <row r="4" spans="1:16" x14ac:dyDescent="0.25">
      <c r="A4" t="s">
        <v>667</v>
      </c>
      <c r="B4" s="406" t="s">
        <v>128</v>
      </c>
      <c r="C4" s="95">
        <v>2050</v>
      </c>
      <c r="D4">
        <v>161.30000000000001</v>
      </c>
      <c r="E4">
        <v>48.6</v>
      </c>
      <c r="F4">
        <v>57.900000000000006</v>
      </c>
      <c r="G4">
        <v>244</v>
      </c>
      <c r="H4">
        <v>50</v>
      </c>
      <c r="I4">
        <v>49</v>
      </c>
      <c r="J4">
        <v>10.6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668</v>
      </c>
      <c r="B5" s="406" t="s">
        <v>129</v>
      </c>
      <c r="C5" s="95">
        <v>2050</v>
      </c>
      <c r="D5">
        <v>177</v>
      </c>
      <c r="E5">
        <v>51.9</v>
      </c>
      <c r="F5">
        <v>70.400000000000006</v>
      </c>
      <c r="G5">
        <v>293</v>
      </c>
      <c r="H5">
        <v>75</v>
      </c>
      <c r="I5">
        <v>68</v>
      </c>
      <c r="J5">
        <v>70.599999999999994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136</v>
      </c>
      <c r="B6" s="406" t="s">
        <v>130</v>
      </c>
      <c r="C6" s="95">
        <v>2050</v>
      </c>
      <c r="D6">
        <v>155</v>
      </c>
      <c r="E6">
        <v>43</v>
      </c>
      <c r="F6">
        <v>108</v>
      </c>
      <c r="G6">
        <v>284</v>
      </c>
      <c r="H6">
        <v>64</v>
      </c>
      <c r="I6">
        <v>56</v>
      </c>
      <c r="J6">
        <v>55</v>
      </c>
      <c r="K6">
        <v>0</v>
      </c>
      <c r="L6">
        <v>73</v>
      </c>
      <c r="M6">
        <v>0</v>
      </c>
      <c r="N6">
        <v>27</v>
      </c>
      <c r="O6">
        <v>0</v>
      </c>
      <c r="P6">
        <v>0</v>
      </c>
    </row>
    <row r="7" spans="1:16" x14ac:dyDescent="0.25">
      <c r="A7" t="s">
        <v>669</v>
      </c>
      <c r="B7" s="406" t="s">
        <v>131</v>
      </c>
      <c r="C7" s="95">
        <v>2050</v>
      </c>
      <c r="D7">
        <v>163</v>
      </c>
      <c r="E7">
        <v>76</v>
      </c>
      <c r="F7">
        <v>85</v>
      </c>
      <c r="G7">
        <v>282</v>
      </c>
      <c r="H7">
        <v>0</v>
      </c>
      <c r="I7">
        <v>54</v>
      </c>
      <c r="J7">
        <v>0</v>
      </c>
      <c r="K7">
        <v>135</v>
      </c>
      <c r="L7">
        <v>82</v>
      </c>
      <c r="M7">
        <v>1</v>
      </c>
      <c r="N7">
        <v>24</v>
      </c>
      <c r="O7">
        <v>21</v>
      </c>
      <c r="P7">
        <v>-71</v>
      </c>
    </row>
    <row r="8" spans="1:16" x14ac:dyDescent="0.25">
      <c r="A8" t="s">
        <v>670</v>
      </c>
      <c r="B8" s="406" t="s">
        <v>132</v>
      </c>
      <c r="C8" s="95">
        <v>2050</v>
      </c>
      <c r="D8">
        <v>173.22629999999998</v>
      </c>
      <c r="E8">
        <v>106.06830000000001</v>
      </c>
      <c r="F8">
        <v>100.59939999999999</v>
      </c>
      <c r="G8">
        <v>242.10040000000001</v>
      </c>
      <c r="H8">
        <v>20.502800000000001</v>
      </c>
      <c r="I8">
        <v>20.502800000000001</v>
      </c>
      <c r="J8">
        <v>0</v>
      </c>
      <c r="K8">
        <v>78</v>
      </c>
      <c r="L8">
        <v>45</v>
      </c>
      <c r="M8">
        <v>2</v>
      </c>
      <c r="N8">
        <v>14</v>
      </c>
      <c r="O8">
        <v>0</v>
      </c>
      <c r="P8">
        <v>0</v>
      </c>
    </row>
    <row r="9" spans="1:16" x14ac:dyDescent="0.25">
      <c r="A9" t="s">
        <v>671</v>
      </c>
      <c r="B9" s="406" t="s">
        <v>133</v>
      </c>
      <c r="C9" s="95">
        <v>2050</v>
      </c>
      <c r="D9">
        <v>177</v>
      </c>
      <c r="E9">
        <v>87.199999999999989</v>
      </c>
      <c r="F9">
        <v>105.7</v>
      </c>
      <c r="G9">
        <v>293</v>
      </c>
      <c r="H9">
        <v>75</v>
      </c>
      <c r="I9">
        <v>68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672</v>
      </c>
      <c r="B10" s="406" t="s">
        <v>134</v>
      </c>
      <c r="C10" s="96">
        <v>2050</v>
      </c>
      <c r="D10">
        <v>177</v>
      </c>
      <c r="E10">
        <v>108.86666666666666</v>
      </c>
      <c r="F10">
        <v>127.36666666666667</v>
      </c>
      <c r="G10">
        <v>293</v>
      </c>
      <c r="H10">
        <v>75</v>
      </c>
      <c r="I10">
        <v>68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E5" sqref="E5"/>
    </sheetView>
  </sheetViews>
  <sheetFormatPr baseColWidth="10" defaultRowHeight="15" x14ac:dyDescent="0.25"/>
  <cols>
    <col min="1" max="1" width="19.5703125" customWidth="1"/>
    <col min="6" max="6" width="19.140625" customWidth="1"/>
    <col min="7" max="7" width="20.140625" customWidth="1"/>
    <col min="8" max="8" width="16.140625" customWidth="1"/>
  </cols>
  <sheetData>
    <row r="1" spans="1:9" x14ac:dyDescent="0.25">
      <c r="A1" t="s">
        <v>673</v>
      </c>
      <c r="B1" t="s">
        <v>11</v>
      </c>
      <c r="C1" t="s">
        <v>34</v>
      </c>
      <c r="D1" t="s">
        <v>16</v>
      </c>
      <c r="E1" t="s">
        <v>167</v>
      </c>
      <c r="F1" t="s">
        <v>675</v>
      </c>
      <c r="G1" t="s">
        <v>676</v>
      </c>
      <c r="H1" t="s">
        <v>677</v>
      </c>
      <c r="I1" t="s">
        <v>678</v>
      </c>
    </row>
    <row r="2" spans="1:9" x14ac:dyDescent="0.25">
      <c r="A2" t="s">
        <v>666</v>
      </c>
      <c r="B2">
        <v>418</v>
      </c>
      <c r="C2">
        <v>391</v>
      </c>
      <c r="D2">
        <v>315</v>
      </c>
      <c r="E2">
        <v>14</v>
      </c>
    </row>
    <row r="3" spans="1:9" x14ac:dyDescent="0.25">
      <c r="A3" t="s">
        <v>667</v>
      </c>
      <c r="B3">
        <v>210</v>
      </c>
      <c r="C3">
        <v>85</v>
      </c>
      <c r="D3">
        <v>201</v>
      </c>
    </row>
    <row r="4" spans="1:9" x14ac:dyDescent="0.25">
      <c r="A4" t="s">
        <v>668</v>
      </c>
      <c r="B4">
        <v>239</v>
      </c>
      <c r="C4">
        <v>98</v>
      </c>
      <c r="D4">
        <v>304</v>
      </c>
    </row>
    <row r="5" spans="1:9" x14ac:dyDescent="0.25">
      <c r="A5" t="s">
        <v>136</v>
      </c>
      <c r="B5">
        <v>208</v>
      </c>
      <c r="C5">
        <v>99</v>
      </c>
      <c r="D5">
        <v>262</v>
      </c>
      <c r="E5">
        <v>22</v>
      </c>
    </row>
    <row r="6" spans="1:9" x14ac:dyDescent="0.25">
      <c r="A6" t="s">
        <v>669</v>
      </c>
      <c r="B6">
        <v>206</v>
      </c>
      <c r="C6">
        <v>147</v>
      </c>
      <c r="D6">
        <v>273</v>
      </c>
      <c r="E6">
        <v>11</v>
      </c>
      <c r="I6">
        <v>232</v>
      </c>
    </row>
    <row r="7" spans="1:9" x14ac:dyDescent="0.25">
      <c r="A7" t="s">
        <v>670</v>
      </c>
      <c r="B7">
        <v>241</v>
      </c>
      <c r="C7">
        <v>137</v>
      </c>
      <c r="D7">
        <v>233</v>
      </c>
      <c r="E7">
        <v>12</v>
      </c>
    </row>
    <row r="8" spans="1:9" x14ac:dyDescent="0.25">
      <c r="A8" t="s">
        <v>671</v>
      </c>
      <c r="B8">
        <v>239</v>
      </c>
      <c r="C8">
        <v>98</v>
      </c>
      <c r="D8">
        <v>304</v>
      </c>
      <c r="E8">
        <v>0</v>
      </c>
    </row>
    <row r="9" spans="1:9" x14ac:dyDescent="0.25">
      <c r="A9" t="s">
        <v>672</v>
      </c>
      <c r="B9">
        <v>239</v>
      </c>
      <c r="C9">
        <v>137</v>
      </c>
      <c r="D9">
        <v>304</v>
      </c>
      <c r="E9">
        <v>12</v>
      </c>
      <c r="F9">
        <f>'Sankey2050 (GWh original)'!I46/277.8</f>
        <v>195.98433693304537</v>
      </c>
      <c r="G9">
        <f>'Sankey2050 (GWh original)'!I56/277.8</f>
        <v>102.68968880438396</v>
      </c>
      <c r="H9">
        <f>'Sankey2050 (GWh original)'!E37/277.8</f>
        <v>105.69155313174946</v>
      </c>
      <c r="I9">
        <f>F9+G9</f>
        <v>298.67402573742936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="70" zoomScaleNormal="70" workbookViewId="0">
      <selection activeCell="K30" sqref="K30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9.140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8.2851562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1:15" x14ac:dyDescent="0.25">
      <c r="A1">
        <f>IF(ISNUMBER('Sankey2050 (GWh original)'!A1),('Sankey2050 (GWh original)'!A1)/277.8,'Sankey2050 (GWh original)'!A1)</f>
        <v>0</v>
      </c>
      <c r="B1" t="str">
        <f>IF(ISNUMBER('Sankey2050 (GWh original)'!B1),('Sankey2050 (GWh original)'!B1)/277.8,'Sankey2050 (GWh original)'!B1)</f>
        <v>Energieflussbild erneuerbares Österreich 2050</v>
      </c>
      <c r="C1">
        <f>IF(ISNUMBER('Sankey2050 (GWh original)'!C1),('Sankey2050 (GWh original)'!C1)/277.8,'Sankey2050 (GWh original)'!C1)</f>
        <v>0</v>
      </c>
      <c r="D1">
        <f>IF(ISNUMBER('Sankey2050 (GWh original)'!D1),('Sankey2050 (GWh original)'!D1)/277.8,'Sankey2050 (GWh original)'!D1)</f>
        <v>0</v>
      </c>
      <c r="E1">
        <f>IF(ISNUMBER('Sankey2050 (GWh original)'!E1),('Sankey2050 (GWh original)'!E1)/277.8,'Sankey2050 (GWh original)'!E1)</f>
        <v>0</v>
      </c>
      <c r="F1">
        <f>IF(ISNUMBER('Sankey2050 (GWh original)'!F1),('Sankey2050 (GWh original)'!F1)/277.8,'Sankey2050 (GWh original)'!F1)</f>
        <v>0</v>
      </c>
      <c r="G1">
        <f>IF(ISNUMBER('Sankey2050 (GWh original)'!G1),('Sankey2050 (GWh original)'!G1)/277.8,'Sankey2050 (GWh original)'!G1)</f>
        <v>0</v>
      </c>
      <c r="H1">
        <f>IF(ISNUMBER('Sankey2050 (GWh original)'!H1),('Sankey2050 (GWh original)'!H1)/277.8,'Sankey2050 (GWh original)'!H1)</f>
        <v>0</v>
      </c>
      <c r="I1">
        <f>IF(ISNUMBER('Sankey2050 (GWh original)'!I1),('Sankey2050 (GWh original)'!I1)/277.8,'Sankey2050 (GWh original)'!I1)</f>
        <v>0</v>
      </c>
      <c r="J1">
        <f>IF(ISNUMBER('Sankey2050 (GWh original)'!J1),('Sankey2050 (GWh original)'!J1)/277.8,'Sankey2050 (GWh original)'!J1)</f>
        <v>0</v>
      </c>
      <c r="K1">
        <f>IF(ISNUMBER('Sankey2050 (GWh original)'!K1),('Sankey2050 (GWh original)'!K1)/277.8,'Sankey2050 (GWh original)'!K1)</f>
        <v>0</v>
      </c>
      <c r="L1">
        <f>IF(ISNUMBER('Sankey2050 (GWh original)'!L1),('Sankey2050 (GWh original)'!L1)/277.8,'Sankey2050 (GWh original)'!L1)</f>
        <v>0</v>
      </c>
      <c r="M1">
        <f>IF(ISNUMBER('Sankey2050 (GWh original)'!M1),('Sankey2050 (GWh original)'!M1)/277.8,'Sankey2050 (GWh original)'!M1)</f>
        <v>0</v>
      </c>
      <c r="N1">
        <f>IF(ISNUMBER('Sankey2050 (GWh original)'!N1),('Sankey2050 (GWh original)'!N1)/277.8,'Sankey2050 (GWh original)'!N1)</f>
        <v>0</v>
      </c>
      <c r="O1" s="57" t="s">
        <v>70</v>
      </c>
    </row>
    <row r="2" spans="1:15" x14ac:dyDescent="0.25">
      <c r="A2">
        <f>IF(ISNUMBER('Sankey2050 (GWh original)'!A2),('Sankey2050 (GWh original)'!A2)/277.8,'Sankey2050 (GWh original)'!A2)</f>
        <v>0</v>
      </c>
      <c r="B2">
        <f>IF(ISNUMBER('Sankey2050 (GWh original)'!B2),('Sankey2050 (GWh original)'!B2)/277.8,'Sankey2050 (GWh original)'!B2)</f>
        <v>0</v>
      </c>
      <c r="C2">
        <f>IF(ISNUMBER('Sankey2050 (GWh original)'!C2),('Sankey2050 (GWh original)'!C2)/277.8,'Sankey2050 (GWh original)'!C2)</f>
        <v>0</v>
      </c>
      <c r="D2">
        <f>IF(ISNUMBER('Sankey2050 (GWh original)'!D2),('Sankey2050 (GWh original)'!D2)/277.8,'Sankey2050 (GWh original)'!D2)</f>
        <v>0</v>
      </c>
      <c r="E2">
        <f>IF(ISNUMBER('Sankey2050 (GWh original)'!E2),('Sankey2050 (GWh original)'!E2)/277.8,'Sankey2050 (GWh original)'!E2)</f>
        <v>0</v>
      </c>
      <c r="F2">
        <f>IF(ISNUMBER('Sankey2050 (GWh original)'!F2),('Sankey2050 (GWh original)'!F2)/277.8,'Sankey2050 (GWh original)'!F2)</f>
        <v>0</v>
      </c>
      <c r="G2">
        <f>IF(ISNUMBER('Sankey2050 (GWh original)'!G2),('Sankey2050 (GWh original)'!G2)/277.8,'Sankey2050 (GWh original)'!G2)</f>
        <v>0</v>
      </c>
      <c r="H2">
        <f>IF(ISNUMBER('Sankey2050 (GWh original)'!H2),('Sankey2050 (GWh original)'!H2)/277.8,'Sankey2050 (GWh original)'!H2)</f>
        <v>0</v>
      </c>
      <c r="I2">
        <f>IF(ISNUMBER('Sankey2050 (GWh original)'!I2),('Sankey2050 (GWh original)'!I2)/277.8,'Sankey2050 (GWh original)'!I2)</f>
        <v>0</v>
      </c>
      <c r="J2">
        <f>IF(ISNUMBER('Sankey2050 (GWh original)'!J2),('Sankey2050 (GWh original)'!J2)/277.8,'Sankey2050 (GWh original)'!J2)</f>
        <v>0</v>
      </c>
      <c r="K2">
        <f>IF(ISNUMBER('Sankey2050 (GWh original)'!K2),('Sankey2050 (GWh original)'!K2)/277.8,'Sankey2050 (GWh original)'!K2)</f>
        <v>0</v>
      </c>
      <c r="L2">
        <f>IF(ISNUMBER('Sankey2050 (GWh original)'!L2),('Sankey2050 (GWh original)'!L2)/277.8,'Sankey2050 (GWh original)'!L2)</f>
        <v>0</v>
      </c>
      <c r="M2">
        <f>IF(ISNUMBER('Sankey2050 (GWh original)'!M2),('Sankey2050 (GWh original)'!M2)/277.8,'Sankey2050 (GWh original)'!M2)</f>
        <v>0</v>
      </c>
      <c r="N2">
        <f>IF(ISNUMBER('Sankey2050 (GWh original)'!N2),('Sankey2050 (GWh original)'!N2)/277.8,'Sankey2050 (GWh original)'!N2)</f>
        <v>0</v>
      </c>
    </row>
    <row r="3" spans="1:15" x14ac:dyDescent="0.25">
      <c r="A3">
        <f>IF(ISNUMBER('Sankey2050 (GWh original)'!A3),('Sankey2050 (GWh original)'!A3)/277.8,'Sankey2050 (GWh original)'!A3)</f>
        <v>0</v>
      </c>
      <c r="B3">
        <f>IF(ISNUMBER('Sankey2050 (GWh original)'!B3),('Sankey2050 (GWh original)'!B3)/277.8,'Sankey2050 (GWh original)'!B3)</f>
        <v>0</v>
      </c>
      <c r="C3">
        <f>IF(ISNUMBER('Sankey2050 (GWh original)'!C3),('Sankey2050 (GWh original)'!C3)/277.8,'Sankey2050 (GWh original)'!C3)</f>
        <v>0</v>
      </c>
      <c r="D3">
        <f>IF(ISNUMBER('Sankey2050 (GWh original)'!D3),('Sankey2050 (GWh original)'!D3)/277.8,'Sankey2050 (GWh original)'!D3)</f>
        <v>0</v>
      </c>
      <c r="E3">
        <f>IF(ISNUMBER('Sankey2050 (GWh original)'!E3),('Sankey2050 (GWh original)'!E3)/277.8,'Sankey2050 (GWh original)'!E3)</f>
        <v>0</v>
      </c>
      <c r="F3">
        <f>IF(ISNUMBER('Sankey2050 (GWh original)'!F3),('Sankey2050 (GWh original)'!F3)/277.8,'Sankey2050 (GWh original)'!F3)</f>
        <v>0</v>
      </c>
      <c r="G3">
        <f>IF(ISNUMBER('Sankey2050 (GWh original)'!G3),('Sankey2050 (GWh original)'!G3)/277.8,'Sankey2050 (GWh original)'!G3)</f>
        <v>0</v>
      </c>
      <c r="H3">
        <f>IF(ISNUMBER('Sankey2050 (GWh original)'!H3),('Sankey2050 (GWh original)'!H3)/277.8,'Sankey2050 (GWh original)'!H3)</f>
        <v>0</v>
      </c>
      <c r="I3">
        <f>IF(ISNUMBER('Sankey2050 (GWh original)'!I3),('Sankey2050 (GWh original)'!I3)/277.8,'Sankey2050 (GWh original)'!I3)</f>
        <v>0</v>
      </c>
      <c r="J3">
        <f>IF(ISNUMBER('Sankey2050 (GWh original)'!J3),('Sankey2050 (GWh original)'!J3)/277.8,'Sankey2050 (GWh original)'!J3)</f>
        <v>0</v>
      </c>
      <c r="K3">
        <f>IF(ISNUMBER('Sankey2050 (GWh original)'!K3),('Sankey2050 (GWh original)'!K3)/277.8,'Sankey2050 (GWh original)'!K3)</f>
        <v>0</v>
      </c>
      <c r="L3">
        <f>IF(ISNUMBER('Sankey2050 (GWh original)'!L3),('Sankey2050 (GWh original)'!L3)/277.8,'Sankey2050 (GWh original)'!L3)</f>
        <v>0</v>
      </c>
      <c r="M3">
        <f>IF(ISNUMBER('Sankey2050 (GWh original)'!M3),('Sankey2050 (GWh original)'!M3)/277.8,'Sankey2050 (GWh original)'!M3)</f>
        <v>0</v>
      </c>
      <c r="N3">
        <f>IF(ISNUMBER('Sankey2050 (GWh original)'!N3),('Sankey2050 (GWh original)'!N3)/277.8,'Sankey2050 (GWh original)'!N3)</f>
        <v>0</v>
      </c>
    </row>
    <row r="4" spans="1:15" x14ac:dyDescent="0.25">
      <c r="A4">
        <f>IF(ISNUMBER('Sankey2050 (GWh original)'!A4),('Sankey2050 (GWh original)'!A4)/277.8,'Sankey2050 (GWh original)'!A4)</f>
        <v>0</v>
      </c>
      <c r="B4" s="25" t="str">
        <f>IF(ISNUMBER('Sankey2050 (GWh original)'!B4),('Sankey2050 (GWh original)'!B4)/277.8,'Sankey2050 (GWh original)'!B4)</f>
        <v>Technisches Potenzial [GWh]</v>
      </c>
      <c r="C4" s="3">
        <f>IF(ISNUMBER('Sankey2050 (GWh original)'!C4),('Sankey2050 (GWh original)'!C4)/277.8,'Sankey2050 (GWh original)'!C4)</f>
        <v>0</v>
      </c>
      <c r="D4">
        <f>IF(ISNUMBER('Sankey2050 (GWh original)'!D4),('Sankey2050 (GWh original)'!D4)/277.8,'Sankey2050 (GWh original)'!D4)</f>
        <v>0</v>
      </c>
      <c r="E4">
        <f>IF(ISNUMBER('Sankey2050 (GWh original)'!E4),('Sankey2050 (GWh original)'!E4)/277.8,'Sankey2050 (GWh original)'!E4)</f>
        <v>0</v>
      </c>
      <c r="F4">
        <f>IF(ISNUMBER('Sankey2050 (GWh original)'!F4),('Sankey2050 (GWh original)'!F4)/277.8,'Sankey2050 (GWh original)'!F4)</f>
        <v>0</v>
      </c>
      <c r="G4">
        <f>IF(ISNUMBER('Sankey2050 (GWh original)'!G4),('Sankey2050 (GWh original)'!G4)/277.8,'Sankey2050 (GWh original)'!G4)</f>
        <v>0</v>
      </c>
      <c r="H4">
        <f>IF(ISNUMBER('Sankey2050 (GWh original)'!H4),('Sankey2050 (GWh original)'!H4)/277.8,'Sankey2050 (GWh original)'!H4)</f>
        <v>0</v>
      </c>
      <c r="I4">
        <f>IF(ISNUMBER('Sankey2050 (GWh original)'!I4),('Sankey2050 (GWh original)'!I4)/277.8,'Sankey2050 (GWh original)'!I4)</f>
        <v>0</v>
      </c>
      <c r="J4">
        <f>IF(ISNUMBER('Sankey2050 (GWh original)'!J4),('Sankey2050 (GWh original)'!J4)/277.8,'Sankey2050 (GWh original)'!J4)</f>
        <v>0</v>
      </c>
      <c r="K4">
        <f>IF(ISNUMBER('Sankey2050 (GWh original)'!K4),('Sankey2050 (GWh original)'!K4)/277.8,'Sankey2050 (GWh original)'!K4)</f>
        <v>0</v>
      </c>
      <c r="L4">
        <f>IF(ISNUMBER('Sankey2050 (GWh original)'!L4),('Sankey2050 (GWh original)'!L4)/277.8,'Sankey2050 (GWh original)'!L4)</f>
        <v>0</v>
      </c>
      <c r="M4">
        <f>IF(ISNUMBER('Sankey2050 (GWh original)'!M4),('Sankey2050 (GWh original)'!M4)/277.8,'Sankey2050 (GWh original)'!M4)</f>
        <v>0</v>
      </c>
      <c r="N4">
        <f>IF(ISNUMBER('Sankey2050 (GWh original)'!N4),('Sankey2050 (GWh original)'!N4)/277.8,'Sankey2050 (GWh original)'!N4)</f>
        <v>0</v>
      </c>
    </row>
    <row r="5" spans="1:15" x14ac:dyDescent="0.25">
      <c r="A5">
        <f>IF(ISNUMBER('Sankey2050 (GWh original)'!A5),('Sankey2050 (GWh original)'!A5)/277.8,'Sankey2050 (GWh original)'!A5)</f>
        <v>0</v>
      </c>
      <c r="B5" s="3">
        <f>IF(ISNUMBER('Sankey2050 (GWh original)'!B5),('Sankey2050 (GWh original)'!B5)/277.8,'Sankey2050 (GWh original)'!B5)</f>
        <v>0</v>
      </c>
      <c r="C5" s="23">
        <f>IF(ISNUMBER('Sankey2050 (GWh original)'!C5),('Sankey2050 (GWh original)'!C5)/277.8,'Sankey2050 (GWh original)'!C5)</f>
        <v>39.996803455723544</v>
      </c>
      <c r="D5">
        <f>IF(ISNUMBER('Sankey2050 (GWh original)'!D5),('Sankey2050 (GWh original)'!D5)/277.8,'Sankey2050 (GWh original)'!D5)</f>
        <v>0</v>
      </c>
      <c r="E5">
        <f>IF(ISNUMBER('Sankey2050 (GWh original)'!E5),('Sankey2050 (GWh original)'!E5)/277.8,'Sankey2050 (GWh original)'!E5)</f>
        <v>0</v>
      </c>
      <c r="F5">
        <f>IF(ISNUMBER('Sankey2050 (GWh original)'!F5),('Sankey2050 (GWh original)'!F5)/277.8,'Sankey2050 (GWh original)'!F5)</f>
        <v>0</v>
      </c>
      <c r="G5">
        <f>IF(ISNUMBER('Sankey2050 (GWh original)'!G5),('Sankey2050 (GWh original)'!G5)/277.8,'Sankey2050 (GWh original)'!G5)</f>
        <v>0</v>
      </c>
      <c r="H5">
        <f>IF(ISNUMBER('Sankey2050 (GWh original)'!H5),('Sankey2050 (GWh original)'!H5)/277.8,'Sankey2050 (GWh original)'!H5)</f>
        <v>0</v>
      </c>
      <c r="I5">
        <f>IF(ISNUMBER('Sankey2050 (GWh original)'!I5),('Sankey2050 (GWh original)'!I5)/277.8,'Sankey2050 (GWh original)'!I5)</f>
        <v>0</v>
      </c>
      <c r="J5">
        <f>IF(ISNUMBER('Sankey2050 (GWh original)'!J5),('Sankey2050 (GWh original)'!J5)/277.8,'Sankey2050 (GWh original)'!J5)</f>
        <v>0</v>
      </c>
      <c r="K5">
        <f>IF(ISNUMBER('Sankey2050 (GWh original)'!K5),('Sankey2050 (GWh original)'!K5)/277.8,'Sankey2050 (GWh original)'!K5)</f>
        <v>0</v>
      </c>
      <c r="L5">
        <f>IF(ISNUMBER('Sankey2050 (GWh original)'!L5),('Sankey2050 (GWh original)'!L5)/277.8,'Sankey2050 (GWh original)'!L5)</f>
        <v>0</v>
      </c>
      <c r="M5">
        <f>IF(ISNUMBER('Sankey2050 (GWh original)'!M5),('Sankey2050 (GWh original)'!M5)/277.8,'Sankey2050 (GWh original)'!M5)</f>
        <v>0</v>
      </c>
      <c r="N5">
        <f>IF(ISNUMBER('Sankey2050 (GWh original)'!N5),('Sankey2050 (GWh original)'!N5)/277.8,'Sankey2050 (GWh original)'!N5)</f>
        <v>0</v>
      </c>
    </row>
    <row r="6" spans="1:15" x14ac:dyDescent="0.25">
      <c r="A6">
        <f>IF(ISNUMBER('Sankey2050 (GWh original)'!A6),('Sankey2050 (GWh original)'!A6)/277.8,'Sankey2050 (GWh original)'!A6)</f>
        <v>0</v>
      </c>
      <c r="B6" s="3" t="str">
        <f>IF(ISNUMBER('Sankey2050 (GWh original)'!B6),('Sankey2050 (GWh original)'!B6)/277.8,'Sankey2050 (GWh original)'!B6)</f>
        <v>Biomasse</v>
      </c>
      <c r="C6" s="5">
        <f>IF(ISNUMBER('Sankey2050 (GWh original)'!C6),('Sankey2050 (GWh original)'!C6)/277.8,'Sankey2050 (GWh original)'!C6)</f>
        <v>306.97264218862489</v>
      </c>
      <c r="D6">
        <f>IF(ISNUMBER('Sankey2050 (GWh original)'!D6),('Sankey2050 (GWh original)'!D6)/277.8,'Sankey2050 (GWh original)'!D6)</f>
        <v>0</v>
      </c>
      <c r="E6">
        <f>IF(ISNUMBER('Sankey2050 (GWh original)'!E6),('Sankey2050 (GWh original)'!E6)/277.8,'Sankey2050 (GWh original)'!E6)</f>
        <v>0</v>
      </c>
      <c r="F6">
        <f>IF(ISNUMBER('Sankey2050 (GWh original)'!F6),('Sankey2050 (GWh original)'!F6)/277.8,'Sankey2050 (GWh original)'!F6)</f>
        <v>0</v>
      </c>
      <c r="G6">
        <f>IF(ISNUMBER('Sankey2050 (GWh original)'!G6),('Sankey2050 (GWh original)'!G6)/277.8,'Sankey2050 (GWh original)'!G6)</f>
        <v>0</v>
      </c>
      <c r="H6">
        <f>IF(ISNUMBER('Sankey2050 (GWh original)'!H6),('Sankey2050 (GWh original)'!H6)/277.8,'Sankey2050 (GWh original)'!H6)</f>
        <v>0</v>
      </c>
      <c r="I6">
        <f>IF(ISNUMBER('Sankey2050 (GWh original)'!I6),('Sankey2050 (GWh original)'!I6)/277.8,'Sankey2050 (GWh original)'!I6)</f>
        <v>0</v>
      </c>
      <c r="J6">
        <f>IF(ISNUMBER('Sankey2050 (GWh original)'!J6),('Sankey2050 (GWh original)'!J6)/277.8,'Sankey2050 (GWh original)'!J6)</f>
        <v>0</v>
      </c>
      <c r="K6">
        <f>IF(ISNUMBER('Sankey2050 (GWh original)'!K6),('Sankey2050 (GWh original)'!K6)/277.8,'Sankey2050 (GWh original)'!K6)</f>
        <v>0</v>
      </c>
      <c r="L6">
        <f>IF(ISNUMBER('Sankey2050 (GWh original)'!L6),('Sankey2050 (GWh original)'!L6)/277.8,'Sankey2050 (GWh original)'!L6)</f>
        <v>0</v>
      </c>
      <c r="M6">
        <f>IF(ISNUMBER('Sankey2050 (GWh original)'!M6),('Sankey2050 (GWh original)'!M6)/277.8,'Sankey2050 (GWh original)'!M6)</f>
        <v>0</v>
      </c>
      <c r="N6">
        <f>IF(ISNUMBER('Sankey2050 (GWh original)'!N6),('Sankey2050 (GWh original)'!N6)/277.8,'Sankey2050 (GWh original)'!N6)</f>
        <v>0</v>
      </c>
    </row>
    <row r="7" spans="1:15" x14ac:dyDescent="0.25">
      <c r="A7">
        <f>IF(ISNUMBER('Sankey2050 (GWh original)'!A7),('Sankey2050 (GWh original)'!A7)/277.8,'Sankey2050 (GWh original)'!A7)</f>
        <v>0</v>
      </c>
      <c r="B7" s="3" t="str">
        <f>IF(ISNUMBER('Sankey2050 (GWh original)'!B7),('Sankey2050 (GWh original)'!B7)/277.8,'Sankey2050 (GWh original)'!B7)</f>
        <v>Wasserkraft</v>
      </c>
      <c r="C7" s="5">
        <f>IF(ISNUMBER('Sankey2050 (GWh original)'!C7),('Sankey2050 (GWh original)'!C7)/277.8,'Sankey2050 (GWh original)'!C7)</f>
        <v>201.98344132469401</v>
      </c>
      <c r="D7">
        <f>IF(ISNUMBER('Sankey2050 (GWh original)'!D7),('Sankey2050 (GWh original)'!D7)/277.8,'Sankey2050 (GWh original)'!D7)</f>
        <v>0</v>
      </c>
      <c r="E7">
        <f>IF(ISNUMBER('Sankey2050 (GWh original)'!E7),('Sankey2050 (GWh original)'!E7)/277.8,'Sankey2050 (GWh original)'!E7)</f>
        <v>0</v>
      </c>
      <c r="F7">
        <f>IF(ISNUMBER('Sankey2050 (GWh original)'!F7),('Sankey2050 (GWh original)'!F7)/277.8,'Sankey2050 (GWh original)'!F7)</f>
        <v>0</v>
      </c>
      <c r="G7">
        <f>IF(ISNUMBER('Sankey2050 (GWh original)'!G7),('Sankey2050 (GWh original)'!G7)/277.8,'Sankey2050 (GWh original)'!G7)</f>
        <v>0</v>
      </c>
      <c r="H7">
        <f>IF(ISNUMBER('Sankey2050 (GWh original)'!H7),('Sankey2050 (GWh original)'!H7)/277.8,'Sankey2050 (GWh original)'!H7)</f>
        <v>0</v>
      </c>
      <c r="I7">
        <f>IF(ISNUMBER('Sankey2050 (GWh original)'!I7),('Sankey2050 (GWh original)'!I7)/277.8,'Sankey2050 (GWh original)'!I7)</f>
        <v>0</v>
      </c>
      <c r="J7">
        <f>IF(ISNUMBER('Sankey2050 (GWh original)'!J7),('Sankey2050 (GWh original)'!J7)/277.8,'Sankey2050 (GWh original)'!J7)</f>
        <v>0</v>
      </c>
      <c r="K7">
        <f>IF(ISNUMBER('Sankey2050 (GWh original)'!K7),('Sankey2050 (GWh original)'!K7)/277.8,'Sankey2050 (GWh original)'!K7)</f>
        <v>0</v>
      </c>
      <c r="L7">
        <f>IF(ISNUMBER('Sankey2050 (GWh original)'!L7),('Sankey2050 (GWh original)'!L7)/277.8,'Sankey2050 (GWh original)'!L7)</f>
        <v>0</v>
      </c>
      <c r="M7">
        <f>IF(ISNUMBER('Sankey2050 (GWh original)'!M7),('Sankey2050 (GWh original)'!M7)/277.8,'Sankey2050 (GWh original)'!M7)</f>
        <v>0</v>
      </c>
      <c r="N7">
        <f>IF(ISNUMBER('Sankey2050 (GWh original)'!N7),('Sankey2050 (GWh original)'!N7)/277.8,'Sankey2050 (GWh original)'!N7)</f>
        <v>0</v>
      </c>
    </row>
    <row r="8" spans="1:15" x14ac:dyDescent="0.25">
      <c r="A8">
        <f>IF(ISNUMBER('Sankey2050 (GWh original)'!A8),('Sankey2050 (GWh original)'!A8)/277.8,'Sankey2050 (GWh original)'!A8)</f>
        <v>0</v>
      </c>
      <c r="B8" s="3" t="str">
        <f>IF(ISNUMBER('Sankey2050 (GWh original)'!B8),('Sankey2050 (GWh original)'!B8)/277.8,'Sankey2050 (GWh original)'!B8)</f>
        <v>Windenergie</v>
      </c>
      <c r="C8" s="5">
        <f>IF(ISNUMBER('Sankey2050 (GWh original)'!C8),('Sankey2050 (GWh original)'!C8)/277.8,'Sankey2050 (GWh original)'!C8)</f>
        <v>64.992800575953922</v>
      </c>
      <c r="D8">
        <f>IF(ISNUMBER('Sankey2050 (GWh original)'!D8),('Sankey2050 (GWh original)'!D8)/277.8,'Sankey2050 (GWh original)'!D8)</f>
        <v>0</v>
      </c>
      <c r="E8">
        <f>IF(ISNUMBER('Sankey2050 (GWh original)'!E8),('Sankey2050 (GWh original)'!E8)/277.8,'Sankey2050 (GWh original)'!E8)</f>
        <v>0</v>
      </c>
      <c r="F8">
        <f>IF(ISNUMBER('Sankey2050 (GWh original)'!F8),('Sankey2050 (GWh original)'!F8)/277.8,'Sankey2050 (GWh original)'!F8)</f>
        <v>0</v>
      </c>
      <c r="G8">
        <f>IF(ISNUMBER('Sankey2050 (GWh original)'!G8),('Sankey2050 (GWh original)'!G8)/277.8,'Sankey2050 (GWh original)'!G8)</f>
        <v>0</v>
      </c>
      <c r="H8">
        <f>IF(ISNUMBER('Sankey2050 (GWh original)'!H8),('Sankey2050 (GWh original)'!H8)/277.8,'Sankey2050 (GWh original)'!H8)</f>
        <v>0</v>
      </c>
      <c r="I8">
        <f>IF(ISNUMBER('Sankey2050 (GWh original)'!I8),('Sankey2050 (GWh original)'!I8)/277.8,'Sankey2050 (GWh original)'!I8)</f>
        <v>0</v>
      </c>
      <c r="J8">
        <f>IF(ISNUMBER('Sankey2050 (GWh original)'!J8),('Sankey2050 (GWh original)'!J8)/277.8,'Sankey2050 (GWh original)'!J8)</f>
        <v>0</v>
      </c>
      <c r="K8">
        <f>IF(ISNUMBER('Sankey2050 (GWh original)'!K8),('Sankey2050 (GWh original)'!K8)/277.8,'Sankey2050 (GWh original)'!K8)</f>
        <v>0</v>
      </c>
      <c r="L8">
        <f>IF(ISNUMBER('Sankey2050 (GWh original)'!L8),('Sankey2050 (GWh original)'!L8)/277.8,'Sankey2050 (GWh original)'!L8)</f>
        <v>0</v>
      </c>
      <c r="M8">
        <f>IF(ISNUMBER('Sankey2050 (GWh original)'!M8),('Sankey2050 (GWh original)'!M8)/277.8,'Sankey2050 (GWh original)'!M8)</f>
        <v>0</v>
      </c>
      <c r="N8">
        <f>IF(ISNUMBER('Sankey2050 (GWh original)'!N8),('Sankey2050 (GWh original)'!N8)/277.8,'Sankey2050 (GWh original)'!N8)</f>
        <v>0</v>
      </c>
    </row>
    <row r="9" spans="1:15" x14ac:dyDescent="0.25">
      <c r="A9">
        <f>IF(ISNUMBER('Sankey2050 (GWh original)'!A9),('Sankey2050 (GWh original)'!A9)/277.8,'Sankey2050 (GWh original)'!A9)</f>
        <v>0</v>
      </c>
      <c r="B9" s="3" t="str">
        <f>IF(ISNUMBER('Sankey2050 (GWh original)'!B9),('Sankey2050 (GWh original)'!B9)/277.8,'Sankey2050 (GWh original)'!B9)</f>
        <v>tiefe Geothermie</v>
      </c>
      <c r="C9" s="5">
        <f>IF(ISNUMBER('Sankey2050 (GWh original)'!C9),('Sankey2050 (GWh original)'!C9)/277.8,'Sankey2050 (GWh original)'!C9)</f>
        <v>210.98272138228941</v>
      </c>
      <c r="D9">
        <f>IF(ISNUMBER('Sankey2050 (GWh original)'!D9),('Sankey2050 (GWh original)'!D9)/277.8,'Sankey2050 (GWh original)'!D9)</f>
        <v>0</v>
      </c>
      <c r="E9">
        <f>IF(ISNUMBER('Sankey2050 (GWh original)'!E9),('Sankey2050 (GWh original)'!E9)/277.8,'Sankey2050 (GWh original)'!E9)</f>
        <v>0</v>
      </c>
      <c r="F9">
        <f>IF(ISNUMBER('Sankey2050 (GWh original)'!F9),('Sankey2050 (GWh original)'!F9)/277.8,'Sankey2050 (GWh original)'!F9)</f>
        <v>0</v>
      </c>
      <c r="G9">
        <f>IF(ISNUMBER('Sankey2050 (GWh original)'!G9),('Sankey2050 (GWh original)'!G9)/277.8,'Sankey2050 (GWh original)'!G9)</f>
        <v>0</v>
      </c>
      <c r="H9">
        <f>IF(ISNUMBER('Sankey2050 (GWh original)'!H9),('Sankey2050 (GWh original)'!H9)/277.8,'Sankey2050 (GWh original)'!H9)</f>
        <v>0</v>
      </c>
      <c r="I9">
        <f>IF(ISNUMBER('Sankey2050 (GWh original)'!I9),('Sankey2050 (GWh original)'!I9)/277.8,'Sankey2050 (GWh original)'!I9)</f>
        <v>0</v>
      </c>
      <c r="J9">
        <f>IF(ISNUMBER('Sankey2050 (GWh original)'!J9),('Sankey2050 (GWh original)'!J9)/277.8,'Sankey2050 (GWh original)'!J9)</f>
        <v>0</v>
      </c>
      <c r="K9">
        <f>IF(ISNUMBER('Sankey2050 (GWh original)'!K9),('Sankey2050 (GWh original)'!K9)/277.8,'Sankey2050 (GWh original)'!K9)</f>
        <v>0</v>
      </c>
      <c r="L9">
        <f>IF(ISNUMBER('Sankey2050 (GWh original)'!L9),('Sankey2050 (GWh original)'!L9)/277.8,'Sankey2050 (GWh original)'!L9)</f>
        <v>0</v>
      </c>
      <c r="M9">
        <f>IF(ISNUMBER('Sankey2050 (GWh original)'!M9),('Sankey2050 (GWh original)'!M9)/277.8,'Sankey2050 (GWh original)'!M9)</f>
        <v>0</v>
      </c>
      <c r="N9">
        <f>IF(ISNUMBER('Sankey2050 (GWh original)'!N9),('Sankey2050 (GWh original)'!N9)/277.8,'Sankey2050 (GWh original)'!N9)</f>
        <v>0</v>
      </c>
    </row>
    <row r="10" spans="1:15" x14ac:dyDescent="0.25">
      <c r="A10">
        <f>IF(ISNUMBER('Sankey2050 (GWh original)'!A10),('Sankey2050 (GWh original)'!A10)/277.8,'Sankey2050 (GWh original)'!A10)</f>
        <v>0</v>
      </c>
      <c r="B10" s="3">
        <f>IF(ISNUMBER('Sankey2050 (GWh original)'!B10),('Sankey2050 (GWh original)'!B10)/277.8,'Sankey2050 (GWh original)'!B10)</f>
        <v>0</v>
      </c>
      <c r="C10" s="5">
        <f>IF(ISNUMBER('Sankey2050 (GWh original)'!C10),('Sankey2050 (GWh original)'!C10)/277.8,'Sankey2050 (GWh original)'!C10)</f>
        <v>0</v>
      </c>
      <c r="D10">
        <f>IF(ISNUMBER('Sankey2050 (GWh original)'!D10),('Sankey2050 (GWh original)'!D10)/277.8,'Sankey2050 (GWh original)'!D10)</f>
        <v>0</v>
      </c>
      <c r="E10">
        <f>IF(ISNUMBER('Sankey2050 (GWh original)'!E10),('Sankey2050 (GWh original)'!E10)/277.8,'Sankey2050 (GWh original)'!E10)</f>
        <v>0</v>
      </c>
      <c r="F10">
        <f>IF(ISNUMBER('Sankey2050 (GWh original)'!F10),('Sankey2050 (GWh original)'!F10)/277.8,'Sankey2050 (GWh original)'!F10)</f>
        <v>0</v>
      </c>
      <c r="G10">
        <f>IF(ISNUMBER('Sankey2050 (GWh original)'!G10),('Sankey2050 (GWh original)'!G10)/277.8,'Sankey2050 (GWh original)'!G10)</f>
        <v>0</v>
      </c>
      <c r="H10">
        <f>IF(ISNUMBER('Sankey2050 (GWh original)'!H10),('Sankey2050 (GWh original)'!H10)/277.8,'Sankey2050 (GWh original)'!H10)</f>
        <v>0</v>
      </c>
      <c r="I10">
        <f>IF(ISNUMBER('Sankey2050 (GWh original)'!I10),('Sankey2050 (GWh original)'!I10)/277.8,'Sankey2050 (GWh original)'!I10)</f>
        <v>0</v>
      </c>
      <c r="J10">
        <f>IF(ISNUMBER('Sankey2050 (GWh original)'!J10),('Sankey2050 (GWh original)'!J10)/277.8,'Sankey2050 (GWh original)'!J10)</f>
        <v>0</v>
      </c>
      <c r="K10">
        <f>IF(ISNUMBER('Sankey2050 (GWh original)'!K10),('Sankey2050 (GWh original)'!K10)/277.8,'Sankey2050 (GWh original)'!K10)</f>
        <v>0</v>
      </c>
      <c r="L10">
        <f>IF(ISNUMBER('Sankey2050 (GWh original)'!L10),('Sankey2050 (GWh original)'!L10)/277.8,'Sankey2050 (GWh original)'!L10)</f>
        <v>0</v>
      </c>
      <c r="M10">
        <f>IF(ISNUMBER('Sankey2050 (GWh original)'!M10),('Sankey2050 (GWh original)'!M10)/277.8,'Sankey2050 (GWh original)'!M10)</f>
        <v>0</v>
      </c>
      <c r="N10">
        <f>IF(ISNUMBER('Sankey2050 (GWh original)'!N10),('Sankey2050 (GWh original)'!N10)/277.8,'Sankey2050 (GWh original)'!N10)</f>
        <v>0</v>
      </c>
    </row>
    <row r="11" spans="1:15" x14ac:dyDescent="0.25">
      <c r="A11">
        <f>IF(ISNUMBER('Sankey2050 (GWh original)'!A11),('Sankey2050 (GWh original)'!A11)/277.8,'Sankey2050 (GWh original)'!A11)</f>
        <v>0</v>
      </c>
      <c r="B11" s="3">
        <f>IF(ISNUMBER('Sankey2050 (GWh original)'!B11),('Sankey2050 (GWh original)'!B11)/277.8,'Sankey2050 (GWh original)'!B11)</f>
        <v>0</v>
      </c>
      <c r="C11" s="5">
        <f>IF(ISNUMBER('Sankey2050 (GWh original)'!C11),('Sankey2050 (GWh original)'!C11)/277.8,'Sankey2050 (GWh original)'!C11)</f>
        <v>0</v>
      </c>
      <c r="D11">
        <f>IF(ISNUMBER('Sankey2050 (GWh original)'!D11),('Sankey2050 (GWh original)'!D11)/277.8,'Sankey2050 (GWh original)'!D11)</f>
        <v>0</v>
      </c>
      <c r="E11">
        <f>IF(ISNUMBER('Sankey2050 (GWh original)'!E11),('Sankey2050 (GWh original)'!E11)/277.8,'Sankey2050 (GWh original)'!E11)</f>
        <v>0</v>
      </c>
      <c r="F11">
        <f>IF(ISNUMBER('Sankey2050 (GWh original)'!F11),('Sankey2050 (GWh original)'!F11)/277.8,'Sankey2050 (GWh original)'!F11)</f>
        <v>0</v>
      </c>
      <c r="G11">
        <f>IF(ISNUMBER('Sankey2050 (GWh original)'!G11),('Sankey2050 (GWh original)'!G11)/277.8,'Sankey2050 (GWh original)'!G11)</f>
        <v>0</v>
      </c>
      <c r="H11">
        <f>IF(ISNUMBER('Sankey2050 (GWh original)'!H11),('Sankey2050 (GWh original)'!H11)/277.8,'Sankey2050 (GWh original)'!H11)</f>
        <v>0</v>
      </c>
      <c r="I11">
        <f>IF(ISNUMBER('Sankey2050 (GWh original)'!I11),('Sankey2050 (GWh original)'!I11)/277.8,'Sankey2050 (GWh original)'!I11)</f>
        <v>0</v>
      </c>
      <c r="J11">
        <f>IF(ISNUMBER('Sankey2050 (GWh original)'!J11),('Sankey2050 (GWh original)'!J11)/277.8,'Sankey2050 (GWh original)'!J11)</f>
        <v>0</v>
      </c>
      <c r="K11">
        <f>IF(ISNUMBER('Sankey2050 (GWh original)'!K11),('Sankey2050 (GWh original)'!K11)/277.8,'Sankey2050 (GWh original)'!K11)</f>
        <v>0</v>
      </c>
      <c r="L11">
        <f>IF(ISNUMBER('Sankey2050 (GWh original)'!L11),('Sankey2050 (GWh original)'!L11)/277.8,'Sankey2050 (GWh original)'!L11)</f>
        <v>0</v>
      </c>
      <c r="M11">
        <f>IF(ISNUMBER('Sankey2050 (GWh original)'!M11),('Sankey2050 (GWh original)'!M11)/277.8,'Sankey2050 (GWh original)'!M11)</f>
        <v>0</v>
      </c>
      <c r="N11">
        <f>IF(ISNUMBER('Sankey2050 (GWh original)'!N11),('Sankey2050 (GWh original)'!N11)/277.8,'Sankey2050 (GWh original)'!N11)</f>
        <v>0</v>
      </c>
    </row>
    <row r="12" spans="1:15" x14ac:dyDescent="0.25">
      <c r="A12">
        <f>IF(ISNUMBER('Sankey2050 (GWh original)'!A12),('Sankey2050 (GWh original)'!A12)/277.8,'Sankey2050 (GWh original)'!A12)</f>
        <v>0</v>
      </c>
      <c r="B12" s="3" t="str">
        <f>IF(ISNUMBER('Sankey2050 (GWh original)'!B12),('Sankey2050 (GWh original)'!B12)/277.8,'Sankey2050 (GWh original)'!B12)</f>
        <v>Photovoltaik</v>
      </c>
      <c r="C12" s="5">
        <f>IF(ISNUMBER('Sankey2050 (GWh original)'!C12),('Sankey2050 (GWh original)'!C12)/277.8,'Sankey2050 (GWh original)'!C12)</f>
        <v>92.991360691144706</v>
      </c>
      <c r="D12">
        <f>IF(ISNUMBER('Sankey2050 (GWh original)'!D12),('Sankey2050 (GWh original)'!D12)/277.8,'Sankey2050 (GWh original)'!D12)</f>
        <v>0</v>
      </c>
      <c r="E12">
        <f>IF(ISNUMBER('Sankey2050 (GWh original)'!E12),('Sankey2050 (GWh original)'!E12)/277.8,'Sankey2050 (GWh original)'!E12)</f>
        <v>0</v>
      </c>
      <c r="F12">
        <f>IF(ISNUMBER('Sankey2050 (GWh original)'!F12),('Sankey2050 (GWh original)'!F12)/277.8,'Sankey2050 (GWh original)'!F12)</f>
        <v>0</v>
      </c>
      <c r="G12">
        <f>IF(ISNUMBER('Sankey2050 (GWh original)'!G12),('Sankey2050 (GWh original)'!G12)/277.8,'Sankey2050 (GWh original)'!G12)</f>
        <v>0</v>
      </c>
      <c r="H12">
        <f>IF(ISNUMBER('Sankey2050 (GWh original)'!H12),('Sankey2050 (GWh original)'!H12)/277.8,'Sankey2050 (GWh original)'!H12)</f>
        <v>0</v>
      </c>
      <c r="I12">
        <f>IF(ISNUMBER('Sankey2050 (GWh original)'!I12),('Sankey2050 (GWh original)'!I12)/277.8,'Sankey2050 (GWh original)'!I12)</f>
        <v>0</v>
      </c>
      <c r="J12">
        <f>IF(ISNUMBER('Sankey2050 (GWh original)'!J12),('Sankey2050 (GWh original)'!J12)/277.8,'Sankey2050 (GWh original)'!J12)</f>
        <v>0</v>
      </c>
      <c r="K12">
        <f>IF(ISNUMBER('Sankey2050 (GWh original)'!K12),('Sankey2050 (GWh original)'!K12)/277.8,'Sankey2050 (GWh original)'!K12)</f>
        <v>0</v>
      </c>
      <c r="L12">
        <f>IF(ISNUMBER('Sankey2050 (GWh original)'!L12),('Sankey2050 (GWh original)'!L12)/277.8,'Sankey2050 (GWh original)'!L12)</f>
        <v>0</v>
      </c>
      <c r="M12">
        <f>IF(ISNUMBER('Sankey2050 (GWh original)'!M12),('Sankey2050 (GWh original)'!M12)/277.8,'Sankey2050 (GWh original)'!M12)</f>
        <v>0</v>
      </c>
      <c r="N12">
        <f>IF(ISNUMBER('Sankey2050 (GWh original)'!N12),('Sankey2050 (GWh original)'!N12)/277.8,'Sankey2050 (GWh original)'!N12)</f>
        <v>0</v>
      </c>
    </row>
    <row r="13" spans="1:15" x14ac:dyDescent="0.25">
      <c r="A13">
        <f>IF(ISNUMBER('Sankey2050 (GWh original)'!A13),('Sankey2050 (GWh original)'!A13)/277.8,'Sankey2050 (GWh original)'!A13)</f>
        <v>0</v>
      </c>
      <c r="B13" s="3" t="str">
        <f>IF(ISNUMBER('Sankey2050 (GWh original)'!B13),('Sankey2050 (GWh original)'!B13)/277.8,'Sankey2050 (GWh original)'!B13)</f>
        <v>Solarthermie</v>
      </c>
      <c r="C13" s="5">
        <f>IF(ISNUMBER('Sankey2050 (GWh original)'!C13),('Sankey2050 (GWh original)'!C13)/277.8,'Sankey2050 (GWh original)'!C13)</f>
        <v>119.98920086393088</v>
      </c>
      <c r="D13">
        <f>IF(ISNUMBER('Sankey2050 (GWh original)'!D13),('Sankey2050 (GWh original)'!D13)/277.8,'Sankey2050 (GWh original)'!D13)</f>
        <v>0</v>
      </c>
      <c r="E13">
        <f>IF(ISNUMBER('Sankey2050 (GWh original)'!E13),('Sankey2050 (GWh original)'!E13)/277.8,'Sankey2050 (GWh original)'!E13)</f>
        <v>0</v>
      </c>
      <c r="F13" s="3" t="str">
        <f>IF(ISNUMBER('Sankey2050 (GWh original)'!F13),('Sankey2050 (GWh original)'!F13)/277.8,'Sankey2050 (GWh original)'!F13)</f>
        <v>Verkehr</v>
      </c>
      <c r="G13">
        <f>IF(ISNUMBER('Sankey2050 (GWh original)'!G13),('Sankey2050 (GWh original)'!G13)/277.8,'Sankey2050 (GWh original)'!G13)</f>
        <v>0</v>
      </c>
      <c r="H13">
        <f>IF(ISNUMBER('Sankey2050 (GWh original)'!H13),('Sankey2050 (GWh original)'!H13)/277.8,'Sankey2050 (GWh original)'!H13)</f>
        <v>0</v>
      </c>
      <c r="I13">
        <f>IF(ISNUMBER('Sankey2050 (GWh original)'!I13),('Sankey2050 (GWh original)'!I13)/277.8,'Sankey2050 (GWh original)'!I13)</f>
        <v>0</v>
      </c>
      <c r="J13">
        <f>IF(ISNUMBER('Sankey2050 (GWh original)'!J13),('Sankey2050 (GWh original)'!J13)/277.8,'Sankey2050 (GWh original)'!J13)</f>
        <v>0</v>
      </c>
      <c r="K13">
        <f>IF(ISNUMBER('Sankey2050 (GWh original)'!K13),('Sankey2050 (GWh original)'!K13)/277.8,'Sankey2050 (GWh original)'!K13)</f>
        <v>0</v>
      </c>
      <c r="L13">
        <f>IF(ISNUMBER('Sankey2050 (GWh original)'!L13),('Sankey2050 (GWh original)'!L13)/277.8,'Sankey2050 (GWh original)'!L13)</f>
        <v>0</v>
      </c>
      <c r="M13">
        <f>IF(ISNUMBER('Sankey2050 (GWh original)'!M13),('Sankey2050 (GWh original)'!M13)/277.8,'Sankey2050 (GWh original)'!M13)</f>
        <v>0</v>
      </c>
      <c r="N13">
        <f>IF(ISNUMBER('Sankey2050 (GWh original)'!N13),('Sankey2050 (GWh original)'!N13)/277.8,'Sankey2050 (GWh original)'!N13)</f>
        <v>0</v>
      </c>
    </row>
    <row r="14" spans="1:15" x14ac:dyDescent="0.25">
      <c r="A14">
        <f>IF(ISNUMBER('Sankey2050 (GWh original)'!A14),('Sankey2050 (GWh original)'!A14)/277.8,'Sankey2050 (GWh original)'!A14)</f>
        <v>0</v>
      </c>
      <c r="B14" s="3" t="str">
        <f>IF(ISNUMBER('Sankey2050 (GWh original)'!B14),('Sankey2050 (GWh original)'!B14)/277.8,'Sankey2050 (GWh original)'!B14)</f>
        <v>Oberflächennahe Umweltwärme</v>
      </c>
      <c r="C14" s="5">
        <f>IF(ISNUMBER('Sankey2050 (GWh original)'!C14),('Sankey2050 (GWh original)'!C14)/277.8,'Sankey2050 (GWh original)'!C14)</f>
        <v>340.97192224622029</v>
      </c>
      <c r="D14">
        <f>IF(ISNUMBER('Sankey2050 (GWh original)'!D14),('Sankey2050 (GWh original)'!D14)/277.8,'Sankey2050 (GWh original)'!D14)</f>
        <v>0</v>
      </c>
      <c r="E14">
        <f>IF(ISNUMBER('Sankey2050 (GWh original)'!E14),('Sankey2050 (GWh original)'!E14)/277.8,'Sankey2050 (GWh original)'!E14)</f>
        <v>0</v>
      </c>
      <c r="F14" s="74">
        <f>IF(ISNUMBER('Sankey2050 (GWh original)'!F14),('Sankey2050 (GWh original)'!F14)/277.8,'Sankey2050 (GWh original)'!F14)</f>
        <v>21.664935205183586</v>
      </c>
      <c r="G14" s="7" t="str">
        <f>IF(ISNUMBER('Sankey2050 (GWh original)'!G14),('Sankey2050 (GWh original)'!G14)/277.8,'Sankey2050 (GWh original)'!G14)</f>
        <v>Summe</v>
      </c>
      <c r="H14">
        <f>IF(ISNUMBER('Sankey2050 (GWh original)'!H14),('Sankey2050 (GWh original)'!H14)/277.8,'Sankey2050 (GWh original)'!H14)</f>
        <v>0</v>
      </c>
      <c r="I14">
        <f>IF(ISNUMBER('Sankey2050 (GWh original)'!I14),('Sankey2050 (GWh original)'!I14)/277.8,'Sankey2050 (GWh original)'!I14)</f>
        <v>0</v>
      </c>
      <c r="J14">
        <f>IF(ISNUMBER('Sankey2050 (GWh original)'!J14),('Sankey2050 (GWh original)'!J14)/277.8,'Sankey2050 (GWh original)'!J14)</f>
        <v>0</v>
      </c>
      <c r="K14">
        <f>IF(ISNUMBER('Sankey2050 (GWh original)'!K14),('Sankey2050 (GWh original)'!K14)/277.8,'Sankey2050 (GWh original)'!K14)</f>
        <v>0</v>
      </c>
      <c r="L14">
        <f>IF(ISNUMBER('Sankey2050 (GWh original)'!L14),('Sankey2050 (GWh original)'!L14)/277.8,'Sankey2050 (GWh original)'!L14)</f>
        <v>0</v>
      </c>
      <c r="M14">
        <f>IF(ISNUMBER('Sankey2050 (GWh original)'!M14),('Sankey2050 (GWh original)'!M14)/277.8,'Sankey2050 (GWh original)'!M14)</f>
        <v>0</v>
      </c>
      <c r="N14">
        <f>IF(ISNUMBER('Sankey2050 (GWh original)'!N14),('Sankey2050 (GWh original)'!N14)/277.8,'Sankey2050 (GWh original)'!N14)</f>
        <v>0</v>
      </c>
    </row>
    <row r="15" spans="1:15" x14ac:dyDescent="0.25">
      <c r="A15">
        <f>IF(ISNUMBER('Sankey2050 (GWh original)'!A15),('Sankey2050 (GWh original)'!A15)/277.8,'Sankey2050 (GWh original)'!A15)</f>
        <v>0</v>
      </c>
      <c r="B15" s="7" t="str">
        <f>IF(ISNUMBER('Sankey2050 (GWh original)'!B15),('Sankey2050 (GWh original)'!B15)/277.8,'Sankey2050 (GWh original)'!B15)</f>
        <v>Summe</v>
      </c>
      <c r="C15" s="8">
        <f>IF(ISNUMBER('Sankey2050 (GWh original)'!C15),('Sankey2050 (GWh original)'!C15)/277.8,'Sankey2050 (GWh original)'!C15)</f>
        <v>1338.8840892728581</v>
      </c>
      <c r="D15">
        <f>IF(ISNUMBER('Sankey2050 (GWh original)'!D15),('Sankey2050 (GWh original)'!D15)/277.8,'Sankey2050 (GWh original)'!D15)</f>
        <v>0</v>
      </c>
      <c r="E15">
        <f>IF(ISNUMBER('Sankey2050 (GWh original)'!E15),('Sankey2050 (GWh original)'!E15)/277.8,'Sankey2050 (GWh original)'!E15)</f>
        <v>0</v>
      </c>
      <c r="F15" s="74">
        <f>IF(ISNUMBER('Sankey2050 (GWh original)'!F15),('Sankey2050 (GWh original)'!F15)/277.8,'Sankey2050 (GWh original)'!F15)</f>
        <v>21.664935205183586</v>
      </c>
      <c r="G15" s="8">
        <f>'Sankey2050 (PJ)'!D32</f>
        <v>86.009792764578819</v>
      </c>
      <c r="H15">
        <f>IF(ISNUMBER('Sankey2050 (GWh original)'!H15),('Sankey2050 (GWh original)'!H15)/277.8,'Sankey2050 (GWh original)'!H15)</f>
        <v>0</v>
      </c>
      <c r="I15">
        <f>IF(ISNUMBER('Sankey2050 (GWh original)'!I15),('Sankey2050 (GWh original)'!I15)/277.8,'Sankey2050 (GWh original)'!I15)</f>
        <v>0</v>
      </c>
      <c r="J15">
        <f>IF(ISNUMBER('Sankey2050 (GWh original)'!J15),('Sankey2050 (GWh original)'!J15)/277.8,'Sankey2050 (GWh original)'!J15)</f>
        <v>0</v>
      </c>
      <c r="K15">
        <f>IF(ISNUMBER('Sankey2050 (GWh original)'!K15),('Sankey2050 (GWh original)'!K15)/277.8,'Sankey2050 (GWh original)'!K15)</f>
        <v>0</v>
      </c>
      <c r="L15">
        <f>IF(ISNUMBER('Sankey2050 (GWh original)'!L15),('Sankey2050 (GWh original)'!L15)/277.8,'Sankey2050 (GWh original)'!L15)</f>
        <v>0</v>
      </c>
      <c r="M15">
        <f>IF(ISNUMBER('Sankey2050 (GWh original)'!M15),('Sankey2050 (GWh original)'!M15)/277.8,'Sankey2050 (GWh original)'!M15)</f>
        <v>0</v>
      </c>
      <c r="N15">
        <f>IF(ISNUMBER('Sankey2050 (GWh original)'!N15),('Sankey2050 (GWh original)'!N15)/277.8,'Sankey2050 (GWh original)'!N15)</f>
        <v>0</v>
      </c>
    </row>
    <row r="16" spans="1:15" x14ac:dyDescent="0.25">
      <c r="A16">
        <f>IF(ISNUMBER('Sankey2050 (GWh original)'!A16),('Sankey2050 (GWh original)'!A16)/277.8,'Sankey2050 (GWh original)'!A16)</f>
        <v>0</v>
      </c>
      <c r="B16">
        <f>IF(ISNUMBER('Sankey2050 (GWh original)'!B16),('Sankey2050 (GWh original)'!B16)/277.8,'Sankey2050 (GWh original)'!B16)</f>
        <v>0</v>
      </c>
      <c r="C16">
        <f>IF(ISNUMBER('Sankey2050 (GWh original)'!C16),('Sankey2050 (GWh original)'!C16)/277.8,'Sankey2050 (GWh original)'!C16)</f>
        <v>0</v>
      </c>
      <c r="D16">
        <f>IF(ISNUMBER('Sankey2050 (GWh original)'!D16),('Sankey2050 (GWh original)'!D16)/277.8,'Sankey2050 (GWh original)'!D16)</f>
        <v>0</v>
      </c>
      <c r="E16">
        <f>IF(ISNUMBER('Sankey2050 (GWh original)'!E16),('Sankey2050 (GWh original)'!E16)/277.8,'Sankey2050 (GWh original)'!E16)</f>
        <v>0</v>
      </c>
      <c r="F16">
        <f>IF(ISNUMBER('Sankey2050 (GWh original)'!F16),('Sankey2050 (GWh original)'!F16)/277.8,'Sankey2050 (GWh original)'!F16)</f>
        <v>0</v>
      </c>
      <c r="G16">
        <f>IF(ISNUMBER('Sankey2050 (GWh original)'!G16),('Sankey2050 (GWh original)'!G16)/277.8,'Sankey2050 (GWh original)'!G16)</f>
        <v>0</v>
      </c>
      <c r="H16">
        <f>IF(ISNUMBER('Sankey2050 (GWh original)'!H16),('Sankey2050 (GWh original)'!H16)/277.8,'Sankey2050 (GWh original)'!H16)</f>
        <v>0</v>
      </c>
      <c r="I16">
        <f>IF(ISNUMBER('Sankey2050 (GWh original)'!I16),('Sankey2050 (GWh original)'!I16)/277.8,'Sankey2050 (GWh original)'!I16)</f>
        <v>0</v>
      </c>
      <c r="J16">
        <f>IF(ISNUMBER('Sankey2050 (GWh original)'!J16),('Sankey2050 (GWh original)'!J16)/277.8,'Sankey2050 (GWh original)'!J16)</f>
        <v>0</v>
      </c>
      <c r="K16">
        <f>IF(ISNUMBER('Sankey2050 (GWh original)'!K16),('Sankey2050 (GWh original)'!K16)/277.8,'Sankey2050 (GWh original)'!K16)</f>
        <v>0</v>
      </c>
      <c r="L16">
        <f>IF(ISNUMBER('Sankey2050 (GWh original)'!L16),('Sankey2050 (GWh original)'!L16)/277.8,'Sankey2050 (GWh original)'!L16)</f>
        <v>0</v>
      </c>
      <c r="M16">
        <f>IF(ISNUMBER('Sankey2050 (GWh original)'!M16),('Sankey2050 (GWh original)'!M16)/277.8,'Sankey2050 (GWh original)'!M16)</f>
        <v>0</v>
      </c>
      <c r="N16">
        <f>IF(ISNUMBER('Sankey2050 (GWh original)'!N16),('Sankey2050 (GWh original)'!N16)/277.8,'Sankey2050 (GWh original)'!N16)</f>
        <v>0</v>
      </c>
    </row>
    <row r="17" spans="1:14" x14ac:dyDescent="0.25">
      <c r="A17">
        <f>IF(ISNUMBER('Sankey2050 (GWh original)'!A17),('Sankey2050 (GWh original)'!A17)/277.8,'Sankey2050 (GWh original)'!A17)</f>
        <v>0</v>
      </c>
      <c r="B17" s="25" t="str">
        <f>IF(ISNUMBER('Sankey2050 (GWh original)'!B17),('Sankey2050 (GWh original)'!B17)/277.8,'Sankey2050 (GWh original)'!B17)</f>
        <v>Primärenergieerzeugung [GWh]</v>
      </c>
      <c r="C17" s="3">
        <f>IF(ISNUMBER('Sankey2050 (GWh original)'!C17),('Sankey2050 (GWh original)'!C17)/277.8,'Sankey2050 (GWh original)'!C17)</f>
        <v>0</v>
      </c>
      <c r="D17" s="4" t="str">
        <f>IF(ISNUMBER('Sankey2050 (GWh original)'!D17),('Sankey2050 (GWh original)'!D17)/277.8,'Sankey2050 (GWh original)'!D17)</f>
        <v xml:space="preserve">mit Übertrag tGeo </v>
      </c>
      <c r="E17" s="3" t="str">
        <f>IF(ISNUMBER('Sankey2050 (GWh original)'!E17),('Sankey2050 (GWh original)'!E17)/277.8,'Sankey2050 (GWh original)'!E17)</f>
        <v>Zwischensumme</v>
      </c>
      <c r="F17" s="6" t="str">
        <f>IF(ISNUMBER('Sankey2050 (GWh original)'!F17),('Sankey2050 (GWh original)'!F17)/277.8,'Sankey2050 (GWh original)'!F17)</f>
        <v>Übertrag Verkehr</v>
      </c>
      <c r="G17">
        <f>IF(ISNUMBER('Sankey2050 (GWh original)'!G17),('Sankey2050 (GWh original)'!G17)/277.8,'Sankey2050 (GWh original)'!G17)</f>
        <v>0</v>
      </c>
      <c r="H17">
        <f>IF(ISNUMBER('Sankey2050 (GWh original)'!H17),('Sankey2050 (GWh original)'!H17)/277.8,'Sankey2050 (GWh original)'!H17)</f>
        <v>0</v>
      </c>
      <c r="I17">
        <f>IF(ISNUMBER('Sankey2050 (GWh original)'!I17),('Sankey2050 (GWh original)'!I17)/277.8,'Sankey2050 (GWh original)'!I17)</f>
        <v>0</v>
      </c>
      <c r="J17">
        <f>IF(ISNUMBER('Sankey2050 (GWh original)'!J17),('Sankey2050 (GWh original)'!J17)/277.8,'Sankey2050 (GWh original)'!J17)</f>
        <v>0</v>
      </c>
      <c r="K17">
        <f>IF(ISNUMBER('Sankey2050 (GWh original)'!K17),('Sankey2050 (GWh original)'!K17)/277.8,'Sankey2050 (GWh original)'!K17)</f>
        <v>0</v>
      </c>
      <c r="L17">
        <f>IF(ISNUMBER('Sankey2050 (GWh original)'!L17),('Sankey2050 (GWh original)'!L17)/277.8,'Sankey2050 (GWh original)'!L17)</f>
        <v>0</v>
      </c>
      <c r="M17">
        <f>IF(ISNUMBER('Sankey2050 (GWh original)'!M17),('Sankey2050 (GWh original)'!M17)/277.8,'Sankey2050 (GWh original)'!M17)</f>
        <v>0</v>
      </c>
      <c r="N17">
        <f>IF(ISNUMBER('Sankey2050 (GWh original)'!N17),('Sankey2050 (GWh original)'!N17)/277.8,'Sankey2050 (GWh original)'!N17)</f>
        <v>0</v>
      </c>
    </row>
    <row r="18" spans="1:14" x14ac:dyDescent="0.25">
      <c r="A18">
        <f>IF(ISNUMBER('Sankey2050 (GWh original)'!A18),('Sankey2050 (GWh original)'!A18)/277.8,'Sankey2050 (GWh original)'!A18)</f>
        <v>0</v>
      </c>
      <c r="B18" s="3">
        <f>IF(ISNUMBER('Sankey2050 (GWh original)'!B18),('Sankey2050 (GWh original)'!B18)/277.8,'Sankey2050 (GWh original)'!B18)</f>
        <v>0</v>
      </c>
      <c r="C18" s="11">
        <f>IF(ISNUMBER('Sankey2050 (GWh original)'!C18),('Sankey2050 (GWh original)'!C18)/277.8,'Sankey2050 (GWh original)'!C18)</f>
        <v>0</v>
      </c>
      <c r="D18" s="3">
        <f>IF(ISNUMBER('Sankey2050 (GWh original)'!D18),('Sankey2050 (GWh original)'!D18)/277.8,'Sankey2050 (GWh original)'!D18)</f>
        <v>0</v>
      </c>
      <c r="E18" s="21">
        <f>IF(ISNUMBER('Sankey2050 (GWh original)'!E18),('Sankey2050 (GWh original)'!E18)/277.8,'Sankey2050 (GWh original)'!E18)</f>
        <v>0</v>
      </c>
      <c r="F18" s="6">
        <f>IF(ISNUMBER('Sankey2050 (GWh original)'!F18),('Sankey2050 (GWh original)'!F18)/277.8,'Sankey2050 (GWh original)'!F18)</f>
        <v>0</v>
      </c>
      <c r="G18">
        <f>IF(ISNUMBER('Sankey2050 (GWh original)'!G18),('Sankey2050 (GWh original)'!G18)/277.8,'Sankey2050 (GWh original)'!G18)</f>
        <v>0</v>
      </c>
      <c r="H18">
        <f>IF(ISNUMBER('Sankey2050 (GWh original)'!H18),('Sankey2050 (GWh original)'!H18)/277.8,'Sankey2050 (GWh original)'!H18)</f>
        <v>0</v>
      </c>
      <c r="I18">
        <f>IF(ISNUMBER('Sankey2050 (GWh original)'!I18),('Sankey2050 (GWh original)'!I18)/277.8,'Sankey2050 (GWh original)'!I18)</f>
        <v>0</v>
      </c>
      <c r="J18">
        <f>IF(ISNUMBER('Sankey2050 (GWh original)'!J18),('Sankey2050 (GWh original)'!J18)/277.8,'Sankey2050 (GWh original)'!J18)</f>
        <v>0</v>
      </c>
      <c r="K18">
        <f>IF(ISNUMBER('Sankey2050 (GWh original)'!K18),('Sankey2050 (GWh original)'!K18)/277.8,'Sankey2050 (GWh original)'!K18)</f>
        <v>0</v>
      </c>
      <c r="L18">
        <f>IF(ISNUMBER('Sankey2050 (GWh original)'!L18),('Sankey2050 (GWh original)'!L18)/277.8,'Sankey2050 (GWh original)'!L18)</f>
        <v>0</v>
      </c>
      <c r="M18">
        <f>IF(ISNUMBER('Sankey2050 (GWh original)'!M18),('Sankey2050 (GWh original)'!M18)/277.8,'Sankey2050 (GWh original)'!M18)</f>
        <v>0</v>
      </c>
      <c r="N18">
        <f>IF(ISNUMBER('Sankey2050 (GWh original)'!N18),('Sankey2050 (GWh original)'!N18)/277.8,'Sankey2050 (GWh original)'!N18)</f>
        <v>0</v>
      </c>
    </row>
    <row r="19" spans="1:14" x14ac:dyDescent="0.25">
      <c r="A19">
        <f>IF(ISNUMBER('Sankey2050 (GWh original)'!A19),('Sankey2050 (GWh original)'!A19)/277.8,'Sankey2050 (GWh original)'!A19)</f>
        <v>0</v>
      </c>
      <c r="B19" s="3" t="str">
        <f>IF(ISNUMBER('Sankey2050 (GWh original)'!B19),('Sankey2050 (GWh original)'!B19)/277.8,'Sankey2050 (GWh original)'!B19)</f>
        <v>Biomasse</v>
      </c>
      <c r="C19" s="50">
        <f>IF(ISNUMBER('Sankey2050 (GWh original)'!C19),('Sankey2050 (GWh original)'!C19)/277.8,'Sankey2050 (GWh original)'!C19)</f>
        <v>292.98056155507561</v>
      </c>
      <c r="D19" s="74">
        <f>IF(ISNUMBER('Sankey2050 (GWh original)'!D19),('Sankey2050 (GWh original)'!D19)/277.8,'Sankey2050 (GWh original)'!D19)</f>
        <v>0</v>
      </c>
      <c r="E19" s="51">
        <f>IF(ISNUMBER('Sankey2050 (GWh original)'!E19),('Sankey2050 (GWh original)'!E19)/277.8,'Sankey2050 (GWh original)'!E19)</f>
        <v>292.98056155507561</v>
      </c>
      <c r="F19" s="47">
        <f>IF(ISNUMBER('Sankey2050 (GWh original)'!F19),('Sankey2050 (GWh original)'!F19)/277.8,'Sankey2050 (GWh original)'!F19)</f>
        <v>292.98056155507561</v>
      </c>
      <c r="G19">
        <f>IF(ISNUMBER('Sankey2050 (GWh original)'!G19),('Sankey2050 (GWh original)'!G19)/277.8,'Sankey2050 (GWh original)'!G19)</f>
        <v>0</v>
      </c>
      <c r="H19">
        <f>IF(ISNUMBER('Sankey2050 (GWh original)'!H19),('Sankey2050 (GWh original)'!H19)/277.8,'Sankey2050 (GWh original)'!H19)</f>
        <v>0</v>
      </c>
      <c r="I19">
        <f>IF(ISNUMBER('Sankey2050 (GWh original)'!I19),('Sankey2050 (GWh original)'!I19)/277.8,'Sankey2050 (GWh original)'!I19)</f>
        <v>0</v>
      </c>
      <c r="J19">
        <f>IF(ISNUMBER('Sankey2050 (GWh original)'!J19),('Sankey2050 (GWh original)'!J19)/277.8,'Sankey2050 (GWh original)'!J19)</f>
        <v>0</v>
      </c>
      <c r="K19">
        <f>IF(ISNUMBER('Sankey2050 (GWh original)'!K19),('Sankey2050 (GWh original)'!K19)/277.8,'Sankey2050 (GWh original)'!K19)</f>
        <v>0</v>
      </c>
      <c r="L19">
        <f>IF(ISNUMBER('Sankey2050 (GWh original)'!L19),('Sankey2050 (GWh original)'!L19)/277.8,'Sankey2050 (GWh original)'!L19)</f>
        <v>0</v>
      </c>
      <c r="M19">
        <f>IF(ISNUMBER('Sankey2050 (GWh original)'!M19),('Sankey2050 (GWh original)'!M19)/277.8,'Sankey2050 (GWh original)'!M19)</f>
        <v>0</v>
      </c>
      <c r="N19">
        <f>IF(ISNUMBER('Sankey2050 (GWh original)'!N19),('Sankey2050 (GWh original)'!N19)/277.8,'Sankey2050 (GWh original)'!N19)</f>
        <v>0</v>
      </c>
    </row>
    <row r="20" spans="1:14" x14ac:dyDescent="0.25">
      <c r="A20">
        <f>IF(ISNUMBER('Sankey2050 (GWh original)'!A20),('Sankey2050 (GWh original)'!A20)/277.8,'Sankey2050 (GWh original)'!A20)</f>
        <v>0</v>
      </c>
      <c r="B20" s="3" t="str">
        <f>IF(ISNUMBER('Sankey2050 (GWh original)'!B20),('Sankey2050 (GWh original)'!B20)/277.8,'Sankey2050 (GWh original)'!B20)</f>
        <v>Wasserkraft</v>
      </c>
      <c r="C20" s="50">
        <f>IF(ISNUMBER('Sankey2050 (GWh original)'!C20),('Sankey2050 (GWh original)'!C20)/277.8,'Sankey2050 (GWh original)'!C20)</f>
        <v>176.98704103671705</v>
      </c>
      <c r="D20" s="74">
        <f>IF(ISNUMBER('Sankey2050 (GWh original)'!D20),('Sankey2050 (GWh original)'!D20)/277.8,'Sankey2050 (GWh original)'!D20)</f>
        <v>0</v>
      </c>
      <c r="E20" s="51">
        <f>IF(ISNUMBER('Sankey2050 (GWh original)'!E20),('Sankey2050 (GWh original)'!E20)/277.8,'Sankey2050 (GWh original)'!E20)</f>
        <v>176.98704103671705</v>
      </c>
      <c r="F20" s="47">
        <f>IF(ISNUMBER('Sankey2050 (GWh original)'!F20),('Sankey2050 (GWh original)'!F20)/277.8,'Sankey2050 (GWh original)'!F20)</f>
        <v>176.98704103671705</v>
      </c>
      <c r="G20">
        <f>IF(ISNUMBER('Sankey2050 (GWh original)'!G20),('Sankey2050 (GWh original)'!G20)/277.8,'Sankey2050 (GWh original)'!G20)</f>
        <v>0</v>
      </c>
      <c r="H20">
        <f>IF(ISNUMBER('Sankey2050 (GWh original)'!H20),('Sankey2050 (GWh original)'!H20)/277.8,'Sankey2050 (GWh original)'!H20)</f>
        <v>0</v>
      </c>
      <c r="I20">
        <f>IF(ISNUMBER('Sankey2050 (GWh original)'!I20),('Sankey2050 (GWh original)'!I20)/277.8,'Sankey2050 (GWh original)'!I20)</f>
        <v>0</v>
      </c>
      <c r="J20">
        <f>IF(ISNUMBER('Sankey2050 (GWh original)'!J20),('Sankey2050 (GWh original)'!J20)/277.8,'Sankey2050 (GWh original)'!J20)</f>
        <v>0</v>
      </c>
      <c r="K20">
        <f>IF(ISNUMBER('Sankey2050 (GWh original)'!K20),('Sankey2050 (GWh original)'!K20)/277.8,'Sankey2050 (GWh original)'!K20)</f>
        <v>0</v>
      </c>
      <c r="L20">
        <f>IF(ISNUMBER('Sankey2050 (GWh original)'!L20),('Sankey2050 (GWh original)'!L20)/277.8,'Sankey2050 (GWh original)'!L20)</f>
        <v>0</v>
      </c>
      <c r="M20">
        <f>IF(ISNUMBER('Sankey2050 (GWh original)'!M20),('Sankey2050 (GWh original)'!M20)/277.8,'Sankey2050 (GWh original)'!M20)</f>
        <v>0</v>
      </c>
      <c r="N20">
        <f>IF(ISNUMBER('Sankey2050 (GWh original)'!N20),('Sankey2050 (GWh original)'!N20)/277.8,'Sankey2050 (GWh original)'!N20)</f>
        <v>0</v>
      </c>
    </row>
    <row r="21" spans="1:14" x14ac:dyDescent="0.25">
      <c r="A21">
        <f>IF(ISNUMBER('Sankey2050 (GWh original)'!A21),('Sankey2050 (GWh original)'!A21)/277.8,'Sankey2050 (GWh original)'!A21)</f>
        <v>0</v>
      </c>
      <c r="B21" s="3" t="str">
        <f>IF(ISNUMBER('Sankey2050 (GWh original)'!B21),('Sankey2050 (GWh original)'!B21)/277.8,'Sankey2050 (GWh original)'!B21)</f>
        <v>Windenergie</v>
      </c>
      <c r="C21" s="50">
        <f>IF(ISNUMBER('Sankey2050 (GWh original)'!C21),('Sankey2050 (GWh original)'!C21)/277.8,'Sankey2050 (GWh original)'!C21)</f>
        <v>51.89704823614111</v>
      </c>
      <c r="D21" s="74">
        <f>IF(ISNUMBER('Sankey2050 (GWh original)'!D21),('Sankey2050 (GWh original)'!D21)/277.8,'Sankey2050 (GWh original)'!D21)</f>
        <v>35.296976241900644</v>
      </c>
      <c r="E21" s="51">
        <f>IF(ISNUMBER('Sankey2050 (GWh original)'!E21),('Sankey2050 (GWh original)'!E21)/277.8,'Sankey2050 (GWh original)'!E21)</f>
        <v>87.194024478041754</v>
      </c>
      <c r="F21" s="47">
        <f>IF(ISNUMBER('Sankey2050 (GWh original)'!F21),('Sankey2050 (GWh original)'!F21)/277.8,'Sankey2050 (GWh original)'!F21)</f>
        <v>108.85895968322534</v>
      </c>
      <c r="G21">
        <f>IF(ISNUMBER('Sankey2050 (GWh original)'!G21),('Sankey2050 (GWh original)'!G21)/277.8,'Sankey2050 (GWh original)'!G21)</f>
        <v>0</v>
      </c>
      <c r="H21">
        <f>IF(ISNUMBER('Sankey2050 (GWh original)'!H21),('Sankey2050 (GWh original)'!H21)/277.8,'Sankey2050 (GWh original)'!H21)</f>
        <v>0</v>
      </c>
      <c r="I21">
        <f>IF(ISNUMBER('Sankey2050 (GWh original)'!I21),('Sankey2050 (GWh original)'!I21)/277.8,'Sankey2050 (GWh original)'!I21)</f>
        <v>0</v>
      </c>
      <c r="J21">
        <f>IF(ISNUMBER('Sankey2050 (GWh original)'!J21),('Sankey2050 (GWh original)'!J21)/277.8,'Sankey2050 (GWh original)'!J21)</f>
        <v>0</v>
      </c>
      <c r="K21">
        <f>IF(ISNUMBER('Sankey2050 (GWh original)'!K21),('Sankey2050 (GWh original)'!K21)/277.8,'Sankey2050 (GWh original)'!K21)</f>
        <v>0</v>
      </c>
      <c r="L21">
        <f>IF(ISNUMBER('Sankey2050 (GWh original)'!L21),('Sankey2050 (GWh original)'!L21)/277.8,'Sankey2050 (GWh original)'!L21)</f>
        <v>0</v>
      </c>
      <c r="M21">
        <f>IF(ISNUMBER('Sankey2050 (GWh original)'!M21),('Sankey2050 (GWh original)'!M21)/277.8,'Sankey2050 (GWh original)'!M21)</f>
        <v>0</v>
      </c>
      <c r="N21">
        <f>IF(ISNUMBER('Sankey2050 (GWh original)'!N21),('Sankey2050 (GWh original)'!N21)/277.8,'Sankey2050 (GWh original)'!N21)</f>
        <v>0</v>
      </c>
    </row>
    <row r="22" spans="1:14" x14ac:dyDescent="0.25">
      <c r="A22">
        <f>IF(ISNUMBER('Sankey2050 (GWh original)'!A22),('Sankey2050 (GWh original)'!A22)/277.8,'Sankey2050 (GWh original)'!A22)</f>
        <v>0</v>
      </c>
      <c r="B22" s="3" t="str">
        <f>IF(ISNUMBER('Sankey2050 (GWh original)'!B22),('Sankey2050 (GWh original)'!B22)/277.8,'Sankey2050 (GWh original)'!B22)</f>
        <v>tiefe Geothermie</v>
      </c>
      <c r="C22" s="50">
        <f>IF(ISNUMBER('Sankey2050 (GWh original)'!C22),('Sankey2050 (GWh original)'!C22)/277.8,'Sankey2050 (GWh original)'!C22)</f>
        <v>70.593952483801289</v>
      </c>
      <c r="D22" s="74">
        <f>IF(ISNUMBER('Sankey2050 (GWh original)'!D22),('Sankey2050 (GWh original)'!D22)/277.8,'Sankey2050 (GWh original)'!D22)</f>
        <v>0</v>
      </c>
      <c r="E22" s="51">
        <f>IF(ISNUMBER('Sankey2050 (GWh original)'!E22),('Sankey2050 (GWh original)'!E22)/277.8,'Sankey2050 (GWh original)'!E22)</f>
        <v>0</v>
      </c>
      <c r="F22" s="47">
        <f>IF(ISNUMBER('Sankey2050 (GWh original)'!F22),('Sankey2050 (GWh original)'!F22)/277.8,'Sankey2050 (GWh original)'!F22)</f>
        <v>0</v>
      </c>
      <c r="G22">
        <f>IF(ISNUMBER('Sankey2050 (GWh original)'!G22),('Sankey2050 (GWh original)'!G22)/277.8,'Sankey2050 (GWh original)'!G22)</f>
        <v>0</v>
      </c>
      <c r="H22">
        <f>IF(ISNUMBER('Sankey2050 (GWh original)'!H22),('Sankey2050 (GWh original)'!H22)/277.8,'Sankey2050 (GWh original)'!H22)</f>
        <v>0</v>
      </c>
      <c r="I22">
        <f>IF(ISNUMBER('Sankey2050 (GWh original)'!I22),('Sankey2050 (GWh original)'!I22)/277.8,'Sankey2050 (GWh original)'!I22)</f>
        <v>0</v>
      </c>
      <c r="J22">
        <f>IF(ISNUMBER('Sankey2050 (GWh original)'!J22),('Sankey2050 (GWh original)'!J22)/277.8,'Sankey2050 (GWh original)'!J22)</f>
        <v>0</v>
      </c>
      <c r="K22">
        <f>IF(ISNUMBER('Sankey2050 (GWh original)'!K22),('Sankey2050 (GWh original)'!K22)/277.8,'Sankey2050 (GWh original)'!K22)</f>
        <v>0</v>
      </c>
      <c r="L22">
        <f>IF(ISNUMBER('Sankey2050 (GWh original)'!L22),('Sankey2050 (GWh original)'!L22)/277.8,'Sankey2050 (GWh original)'!L22)</f>
        <v>0</v>
      </c>
      <c r="M22">
        <f>IF(ISNUMBER('Sankey2050 (GWh original)'!M22),('Sankey2050 (GWh original)'!M22)/277.8,'Sankey2050 (GWh original)'!M22)</f>
        <v>0</v>
      </c>
      <c r="N22">
        <f>IF(ISNUMBER('Sankey2050 (GWh original)'!N22),('Sankey2050 (GWh original)'!N22)/277.8,'Sankey2050 (GWh original)'!N22)</f>
        <v>0</v>
      </c>
    </row>
    <row r="23" spans="1:14" x14ac:dyDescent="0.25">
      <c r="A23">
        <f>IF(ISNUMBER('Sankey2050 (GWh original)'!A23),('Sankey2050 (GWh original)'!A23)/277.8,'Sankey2050 (GWh original)'!A23)</f>
        <v>0</v>
      </c>
      <c r="B23" s="3">
        <f>IF(ISNUMBER('Sankey2050 (GWh original)'!B23),('Sankey2050 (GWh original)'!B23)/277.8,'Sankey2050 (GWh original)'!B23)</f>
        <v>0</v>
      </c>
      <c r="C23" s="50">
        <f>IF(ISNUMBER('Sankey2050 (GWh original)'!C23),('Sankey2050 (GWh original)'!C23)/277.8,'Sankey2050 (GWh original)'!C23)</f>
        <v>0</v>
      </c>
      <c r="D23" s="74">
        <f>IF(ISNUMBER('Sankey2050 (GWh original)'!D23),('Sankey2050 (GWh original)'!D23)/277.8,'Sankey2050 (GWh original)'!D23)</f>
        <v>0</v>
      </c>
      <c r="E23" s="51">
        <f>IF(ISNUMBER('Sankey2050 (GWh original)'!E23),('Sankey2050 (GWh original)'!E23)/277.8,'Sankey2050 (GWh original)'!E23)</f>
        <v>0</v>
      </c>
      <c r="F23" s="47">
        <f>IF(ISNUMBER('Sankey2050 (GWh original)'!F23),('Sankey2050 (GWh original)'!F23)/277.8,'Sankey2050 (GWh original)'!F23)</f>
        <v>0</v>
      </c>
      <c r="G23">
        <f>IF(ISNUMBER('Sankey2050 (GWh original)'!G23),('Sankey2050 (GWh original)'!G23)/277.8,'Sankey2050 (GWh original)'!G23)</f>
        <v>0</v>
      </c>
      <c r="H23">
        <f>IF(ISNUMBER('Sankey2050 (GWh original)'!H23),('Sankey2050 (GWh original)'!H23)/277.8,'Sankey2050 (GWh original)'!H23)</f>
        <v>0</v>
      </c>
      <c r="I23">
        <f>IF(ISNUMBER('Sankey2050 (GWh original)'!I23),('Sankey2050 (GWh original)'!I23)/277.8,'Sankey2050 (GWh original)'!I23)</f>
        <v>0</v>
      </c>
      <c r="J23">
        <f>IF(ISNUMBER('Sankey2050 (GWh original)'!J23),('Sankey2050 (GWh original)'!J23)/277.8,'Sankey2050 (GWh original)'!J23)</f>
        <v>0</v>
      </c>
      <c r="K23">
        <f>IF(ISNUMBER('Sankey2050 (GWh original)'!K23),('Sankey2050 (GWh original)'!K23)/277.8,'Sankey2050 (GWh original)'!K23)</f>
        <v>0</v>
      </c>
      <c r="L23">
        <f>IF(ISNUMBER('Sankey2050 (GWh original)'!L23),('Sankey2050 (GWh original)'!L23)/277.8,'Sankey2050 (GWh original)'!L23)</f>
        <v>0</v>
      </c>
      <c r="M23">
        <f>IF(ISNUMBER('Sankey2050 (GWh original)'!M23),('Sankey2050 (GWh original)'!M23)/277.8,'Sankey2050 (GWh original)'!M23)</f>
        <v>0</v>
      </c>
      <c r="N23">
        <f>IF(ISNUMBER('Sankey2050 (GWh original)'!N23),('Sankey2050 (GWh original)'!N23)/277.8,'Sankey2050 (GWh original)'!N23)</f>
        <v>0</v>
      </c>
    </row>
    <row r="24" spans="1:14" x14ac:dyDescent="0.25">
      <c r="A24">
        <f>IF(ISNUMBER('Sankey2050 (GWh original)'!A24),('Sankey2050 (GWh original)'!A24)/277.8,'Sankey2050 (GWh original)'!A24)</f>
        <v>0</v>
      </c>
      <c r="B24" s="3" t="str">
        <f>IF(ISNUMBER('Sankey2050 (GWh original)'!B24),('Sankey2050 (GWh original)'!B24)/277.8,'Sankey2050 (GWh original)'!B24)</f>
        <v>Photovoltaik</v>
      </c>
      <c r="C24" s="50">
        <f>IF(ISNUMBER('Sankey2050 (GWh original)'!C24),('Sankey2050 (GWh original)'!C24)/277.8,'Sankey2050 (GWh original)'!C24)</f>
        <v>70.395968322534188</v>
      </c>
      <c r="D24" s="74">
        <f>IF(ISNUMBER('Sankey2050 (GWh original)'!D24),('Sankey2050 (GWh original)'!D24)/277.8,'Sankey2050 (GWh original)'!D24)</f>
        <v>35.296976241900644</v>
      </c>
      <c r="E24" s="51">
        <f>IF(ISNUMBER('Sankey2050 (GWh original)'!E24),('Sankey2050 (GWh original)'!E24)/277.8,'Sankey2050 (GWh original)'!E24)</f>
        <v>105.69294456443484</v>
      </c>
      <c r="F24" s="47">
        <f>IF(ISNUMBER('Sankey2050 (GWh original)'!F24),('Sankey2050 (GWh original)'!F24)/277.8,'Sankey2050 (GWh original)'!F24)</f>
        <v>127.35787976961842</v>
      </c>
      <c r="G24">
        <f>IF(ISNUMBER('Sankey2050 (GWh original)'!G24),('Sankey2050 (GWh original)'!G24)/277.8,'Sankey2050 (GWh original)'!G24)</f>
        <v>0</v>
      </c>
      <c r="H24">
        <f>IF(ISNUMBER('Sankey2050 (GWh original)'!H24),('Sankey2050 (GWh original)'!H24)/277.8,'Sankey2050 (GWh original)'!H24)</f>
        <v>0</v>
      </c>
      <c r="I24">
        <f>IF(ISNUMBER('Sankey2050 (GWh original)'!I24),('Sankey2050 (GWh original)'!I24)/277.8,'Sankey2050 (GWh original)'!I24)</f>
        <v>0</v>
      </c>
      <c r="J24">
        <f>IF(ISNUMBER('Sankey2050 (GWh original)'!J24),('Sankey2050 (GWh original)'!J24)/277.8,'Sankey2050 (GWh original)'!J24)</f>
        <v>0</v>
      </c>
      <c r="K24">
        <f>IF(ISNUMBER('Sankey2050 (GWh original)'!K24),('Sankey2050 (GWh original)'!K24)/277.8,'Sankey2050 (GWh original)'!K24)</f>
        <v>0</v>
      </c>
      <c r="L24">
        <f>IF(ISNUMBER('Sankey2050 (GWh original)'!L24),('Sankey2050 (GWh original)'!L24)/277.8,'Sankey2050 (GWh original)'!L24)</f>
        <v>0</v>
      </c>
      <c r="M24">
        <f>IF(ISNUMBER('Sankey2050 (GWh original)'!M24),('Sankey2050 (GWh original)'!M24)/277.8,'Sankey2050 (GWh original)'!M24)</f>
        <v>0</v>
      </c>
      <c r="N24">
        <f>IF(ISNUMBER('Sankey2050 (GWh original)'!N24),('Sankey2050 (GWh original)'!N24)/277.8,'Sankey2050 (GWh original)'!N24)</f>
        <v>0</v>
      </c>
    </row>
    <row r="25" spans="1:14" x14ac:dyDescent="0.25">
      <c r="A25">
        <f>IF(ISNUMBER('Sankey2050 (GWh original)'!A25),('Sankey2050 (GWh original)'!A25)/277.8,'Sankey2050 (GWh original)'!A25)</f>
        <v>0</v>
      </c>
      <c r="B25" s="3" t="str">
        <f>IF(ISNUMBER('Sankey2050 (GWh original)'!B25),('Sankey2050 (GWh original)'!B25)/277.8,'Sankey2050 (GWh original)'!B25)</f>
        <v>Solarthermie</v>
      </c>
      <c r="C25" s="50">
        <f>IF(ISNUMBER('Sankey2050 (GWh original)'!C25),('Sankey2050 (GWh original)'!C25)/277.8,'Sankey2050 (GWh original)'!C25)</f>
        <v>74.992800575953922</v>
      </c>
      <c r="D25" s="74">
        <f>IF(ISNUMBER('Sankey2050 (GWh original)'!D25),('Sankey2050 (GWh original)'!D25)/277.8,'Sankey2050 (GWh original)'!D25)</f>
        <v>0</v>
      </c>
      <c r="E25" s="51">
        <f>IF(ISNUMBER('Sankey2050 (GWh original)'!E25),('Sankey2050 (GWh original)'!E25)/277.8,'Sankey2050 (GWh original)'!E25)</f>
        <v>74.992800575953922</v>
      </c>
      <c r="F25" s="47">
        <f>IF(ISNUMBER('Sankey2050 (GWh original)'!F25),('Sankey2050 (GWh original)'!F25)/277.8,'Sankey2050 (GWh original)'!F25)</f>
        <v>74.992800575953922</v>
      </c>
      <c r="G25">
        <f>IF(ISNUMBER('Sankey2050 (GWh original)'!G25),('Sankey2050 (GWh original)'!G25)/277.8,'Sankey2050 (GWh original)'!G25)</f>
        <v>0</v>
      </c>
      <c r="H25">
        <f>IF(ISNUMBER('Sankey2050 (GWh original)'!H25),('Sankey2050 (GWh original)'!H25)/277.8,'Sankey2050 (GWh original)'!H25)</f>
        <v>0</v>
      </c>
      <c r="I25">
        <f>IF(ISNUMBER('Sankey2050 (GWh original)'!I25),('Sankey2050 (GWh original)'!I25)/277.8,'Sankey2050 (GWh original)'!I25)</f>
        <v>0</v>
      </c>
      <c r="J25">
        <f>IF(ISNUMBER('Sankey2050 (GWh original)'!J25),('Sankey2050 (GWh original)'!J25)/277.8,'Sankey2050 (GWh original)'!J25)</f>
        <v>0</v>
      </c>
      <c r="K25">
        <f>IF(ISNUMBER('Sankey2050 (GWh original)'!K25),('Sankey2050 (GWh original)'!K25)/277.8,'Sankey2050 (GWh original)'!K25)</f>
        <v>0</v>
      </c>
      <c r="L25">
        <f>IF(ISNUMBER('Sankey2050 (GWh original)'!L25),('Sankey2050 (GWh original)'!L25)/277.8,'Sankey2050 (GWh original)'!L25)</f>
        <v>0</v>
      </c>
      <c r="M25">
        <f>IF(ISNUMBER('Sankey2050 (GWh original)'!M25),('Sankey2050 (GWh original)'!M25)/277.8,'Sankey2050 (GWh original)'!M25)</f>
        <v>0</v>
      </c>
      <c r="N25">
        <f>IF(ISNUMBER('Sankey2050 (GWh original)'!N25),('Sankey2050 (GWh original)'!N25)/277.8,'Sankey2050 (GWh original)'!N25)</f>
        <v>0</v>
      </c>
    </row>
    <row r="26" spans="1:14" x14ac:dyDescent="0.25">
      <c r="A26">
        <f>IF(ISNUMBER('Sankey2050 (GWh original)'!A26),('Sankey2050 (GWh original)'!A26)/277.8,'Sankey2050 (GWh original)'!A26)</f>
        <v>0</v>
      </c>
      <c r="B26" s="3" t="str">
        <f>IF(ISNUMBER('Sankey2050 (GWh original)'!B26),('Sankey2050 (GWh original)'!B26)/277.8,'Sankey2050 (GWh original)'!B26)</f>
        <v>Oberflächennahe Umweltwärme</v>
      </c>
      <c r="C26" s="50">
        <f>IF(ISNUMBER('Sankey2050 (GWh original)'!C26),('Sankey2050 (GWh original)'!C26)/277.8,'Sankey2050 (GWh original)'!C26)</f>
        <v>67.994960403167738</v>
      </c>
      <c r="D26" s="74">
        <f>IF(ISNUMBER('Sankey2050 (GWh original)'!D26),('Sankey2050 (GWh original)'!D26)/277.8,'Sankey2050 (GWh original)'!D26)</f>
        <v>0</v>
      </c>
      <c r="E26" s="51">
        <f>IF(ISNUMBER('Sankey2050 (GWh original)'!E26),('Sankey2050 (GWh original)'!E26)/277.8,'Sankey2050 (GWh original)'!E26)</f>
        <v>67.994960403167738</v>
      </c>
      <c r="F26" s="47">
        <f>IF(ISNUMBER('Sankey2050 (GWh original)'!F26),('Sankey2050 (GWh original)'!F26)/277.8,'Sankey2050 (GWh original)'!F26)</f>
        <v>67.994960403167738</v>
      </c>
      <c r="G26">
        <f>IF(ISNUMBER('Sankey2050 (GWh original)'!G26),('Sankey2050 (GWh original)'!G26)/277.8,'Sankey2050 (GWh original)'!G26)</f>
        <v>0</v>
      </c>
      <c r="H26">
        <f>IF(ISNUMBER('Sankey2050 (GWh original)'!H26),('Sankey2050 (GWh original)'!H26)/277.8,'Sankey2050 (GWh original)'!H26)</f>
        <v>0</v>
      </c>
      <c r="I26">
        <f>IF(ISNUMBER('Sankey2050 (GWh original)'!I26),('Sankey2050 (GWh original)'!I26)/277.8,'Sankey2050 (GWh original)'!I26)</f>
        <v>0</v>
      </c>
      <c r="J26">
        <f>IF(ISNUMBER('Sankey2050 (GWh original)'!J26),('Sankey2050 (GWh original)'!J26)/277.8,'Sankey2050 (GWh original)'!J26)</f>
        <v>0</v>
      </c>
      <c r="K26">
        <f>IF(ISNUMBER('Sankey2050 (GWh original)'!K26),('Sankey2050 (GWh original)'!K26)/277.8,'Sankey2050 (GWh original)'!K26)</f>
        <v>0</v>
      </c>
      <c r="L26">
        <f>IF(ISNUMBER('Sankey2050 (GWh original)'!L26),('Sankey2050 (GWh original)'!L26)/277.8,'Sankey2050 (GWh original)'!L26)</f>
        <v>0</v>
      </c>
      <c r="M26">
        <f>IF(ISNUMBER('Sankey2050 (GWh original)'!M26),('Sankey2050 (GWh original)'!M26)/277.8,'Sankey2050 (GWh original)'!M26)</f>
        <v>0</v>
      </c>
      <c r="N26">
        <f>IF(ISNUMBER('Sankey2050 (GWh original)'!N26),('Sankey2050 (GWh original)'!N26)/277.8,'Sankey2050 (GWh original)'!N26)</f>
        <v>0</v>
      </c>
    </row>
    <row r="27" spans="1:14" x14ac:dyDescent="0.25">
      <c r="A27">
        <f>IF(ISNUMBER('Sankey2050 (GWh original)'!A27),('Sankey2050 (GWh original)'!A27)/277.8,'Sankey2050 (GWh original)'!A27)</f>
        <v>0</v>
      </c>
      <c r="B27" s="7" t="str">
        <f>IF(ISNUMBER('Sankey2050 (GWh original)'!B27),('Sankey2050 (GWh original)'!B27)/277.8,'Sankey2050 (GWh original)'!B27)</f>
        <v>Summe</v>
      </c>
      <c r="C27" s="52">
        <f>IF(ISNUMBER('Sankey2050 (GWh original)'!C27),('Sankey2050 (GWh original)'!C27)/277.8,'Sankey2050 (GWh original)'!C27)</f>
        <v>805.84233261339091</v>
      </c>
      <c r="D27" s="53">
        <f>IF(ISNUMBER('Sankey2050 (GWh original)'!D27),('Sankey2050 (GWh original)'!D27)/277.8,'Sankey2050 (GWh original)'!D27)</f>
        <v>70.593952483801289</v>
      </c>
      <c r="E27" s="53">
        <f>IF(ISNUMBER('Sankey2050 (GWh original)'!E27),('Sankey2050 (GWh original)'!E27)/277.8,'Sankey2050 (GWh original)'!E27)</f>
        <v>805.84233261339091</v>
      </c>
      <c r="F27" s="47">
        <f>IF(ISNUMBER('Sankey2050 (GWh original)'!F27),('Sankey2050 (GWh original)'!F27)/277.8,'Sankey2050 (GWh original)'!F27)</f>
        <v>849.17220302375802</v>
      </c>
      <c r="G27">
        <f>IF(ISNUMBER('Sankey2050 (GWh original)'!G27),('Sankey2050 (GWh original)'!G27)/277.8,'Sankey2050 (GWh original)'!G27)</f>
        <v>0</v>
      </c>
      <c r="H27">
        <f>IF(ISNUMBER('Sankey2050 (GWh original)'!H27),('Sankey2050 (GWh original)'!H27)/277.8,'Sankey2050 (GWh original)'!H27)</f>
        <v>0</v>
      </c>
      <c r="I27">
        <f>IF(ISNUMBER('Sankey2050 (GWh original)'!I27),('Sankey2050 (GWh original)'!I27)/277.8,'Sankey2050 (GWh original)'!I27)</f>
        <v>0</v>
      </c>
      <c r="J27">
        <f>IF(ISNUMBER('Sankey2050 (GWh original)'!J27),('Sankey2050 (GWh original)'!J27)/277.8,'Sankey2050 (GWh original)'!J27)</f>
        <v>0</v>
      </c>
      <c r="K27">
        <f>IF(ISNUMBER('Sankey2050 (GWh original)'!K27),('Sankey2050 (GWh original)'!K27)/277.8,'Sankey2050 (GWh original)'!K27)</f>
        <v>0</v>
      </c>
      <c r="L27">
        <f>IF(ISNUMBER('Sankey2050 (GWh original)'!L27),('Sankey2050 (GWh original)'!L27)/277.8,'Sankey2050 (GWh original)'!L27)</f>
        <v>0</v>
      </c>
      <c r="M27">
        <f>IF(ISNUMBER('Sankey2050 (GWh original)'!M27),('Sankey2050 (GWh original)'!M27)/277.8,'Sankey2050 (GWh original)'!M27)</f>
        <v>0</v>
      </c>
      <c r="N27">
        <f>IF(ISNUMBER('Sankey2050 (GWh original)'!N27),('Sankey2050 (GWh original)'!N27)/277.8,'Sankey2050 (GWh original)'!N27)</f>
        <v>0</v>
      </c>
    </row>
    <row r="28" spans="1:14" x14ac:dyDescent="0.25">
      <c r="A28">
        <f>IF(ISNUMBER('Sankey2050 (GWh original)'!A28),('Sankey2050 (GWh original)'!A28)/277.8,'Sankey2050 (GWh original)'!A28)</f>
        <v>0</v>
      </c>
      <c r="B28">
        <f>IF(ISNUMBER('Sankey2050 (GWh original)'!B28),('Sankey2050 (GWh original)'!B28)/277.8,'Sankey2050 (GWh original)'!B28)</f>
        <v>0</v>
      </c>
      <c r="C28">
        <f>IF(ISNUMBER('Sankey2050 (GWh original)'!C28),('Sankey2050 (GWh original)'!C28)/277.8,'Sankey2050 (GWh original)'!C28)</f>
        <v>0</v>
      </c>
      <c r="D28">
        <f>IF(ISNUMBER('Sankey2050 (GWh original)'!D28),('Sankey2050 (GWh original)'!D28)/277.8,'Sankey2050 (GWh original)'!D28)</f>
        <v>0</v>
      </c>
      <c r="E28">
        <f>IF(ISNUMBER('Sankey2050 (GWh original)'!E28),('Sankey2050 (GWh original)'!E28)/277.8,'Sankey2050 (GWh original)'!E28)</f>
        <v>0</v>
      </c>
      <c r="F28">
        <f>IF(ISNUMBER('Sankey2050 (GWh original)'!F28),('Sankey2050 (GWh original)'!F28)/277.8,'Sankey2050 (GWh original)'!F28)</f>
        <v>0</v>
      </c>
      <c r="G28">
        <f>IF(ISNUMBER('Sankey2050 (GWh original)'!G28),('Sankey2050 (GWh original)'!G28)/277.8,'Sankey2050 (GWh original)'!G28)</f>
        <v>0</v>
      </c>
      <c r="H28">
        <f>IF(ISNUMBER('Sankey2050 (GWh original)'!H28),('Sankey2050 (GWh original)'!H28)/277.8,'Sankey2050 (GWh original)'!H28)</f>
        <v>0</v>
      </c>
      <c r="I28">
        <f>IF(ISNUMBER('Sankey2050 (GWh original)'!I28),('Sankey2050 (GWh original)'!I28)/277.8,'Sankey2050 (GWh original)'!I28)</f>
        <v>0</v>
      </c>
      <c r="J28">
        <f>IF(ISNUMBER('Sankey2050 (GWh original)'!J28),('Sankey2050 (GWh original)'!J28)/277.8,'Sankey2050 (GWh original)'!J28)</f>
        <v>0</v>
      </c>
      <c r="K28">
        <f>IF(ISNUMBER('Sankey2050 (GWh original)'!K28),('Sankey2050 (GWh original)'!K28)/277.8,'Sankey2050 (GWh original)'!K28)</f>
        <v>0</v>
      </c>
      <c r="L28">
        <f>IF(ISNUMBER('Sankey2050 (GWh original)'!L28),('Sankey2050 (GWh original)'!L28)/277.8,'Sankey2050 (GWh original)'!L28)</f>
        <v>0</v>
      </c>
      <c r="M28">
        <f>IF(ISNUMBER('Sankey2050 (GWh original)'!M28),('Sankey2050 (GWh original)'!M28)/277.8,'Sankey2050 (GWh original)'!M28)</f>
        <v>0</v>
      </c>
      <c r="N28">
        <f>IF(ISNUMBER('Sankey2050 (GWh original)'!N28),('Sankey2050 (GWh original)'!N28)/277.8,'Sankey2050 (GWh original)'!N28)</f>
        <v>0</v>
      </c>
    </row>
    <row r="29" spans="1:14" x14ac:dyDescent="0.25">
      <c r="A29">
        <f>IF(ISNUMBER('Sankey2050 (GWh original)'!A29),('Sankey2050 (GWh original)'!A29)/277.8,'Sankey2050 (GWh original)'!A29)</f>
        <v>0</v>
      </c>
      <c r="B29" s="25" t="str">
        <f>IF(ISNUMBER('Sankey2050 (GWh original)'!B29),('Sankey2050 (GWh original)'!B29)/277.8,'Sankey2050 (GWh original)'!B29)</f>
        <v>Primärenergieverbrauch [GWh] (Brutto)</v>
      </c>
      <c r="C29" s="3">
        <f>IF(ISNUMBER('Sankey2050 (GWh original)'!C29),('Sankey2050 (GWh original)'!C29)/277.8,'Sankey2050 (GWh original)'!C29)</f>
        <v>0</v>
      </c>
      <c r="D29" s="3" t="str">
        <f>IF(ISNUMBER('Sankey2050 (GWh original)'!D29),('Sankey2050 (GWh original)'!D29)/277.8,'Sankey2050 (GWh original)'!D29)</f>
        <v>Strom zentral</v>
      </c>
      <c r="E29" s="3" t="str">
        <f>IF(ISNUMBER('Sankey2050 (GWh original)'!E29),('Sankey2050 (GWh original)'!E29)/277.8,'Sankey2050 (GWh original)'!E29)</f>
        <v>Methanisierung</v>
      </c>
      <c r="F29" s="3" t="str">
        <f>IF(ISNUMBER('Sankey2050 (GWh original)'!F29),('Sankey2050 (GWh original)'!F29)/277.8,'Sankey2050 (GWh original)'!F29)</f>
        <v>Wärme HT</v>
      </c>
      <c r="G29" s="3" t="str">
        <f>IF(ISNUMBER('Sankey2050 (GWh original)'!G29),('Sankey2050 (GWh original)'!G29)/277.8,'Sankey2050 (GWh original)'!G29)</f>
        <v>Wärme NT</v>
      </c>
      <c r="H29" s="3" t="str">
        <f>IF(ISNUMBER('Sankey2050 (GWh original)'!H29),('Sankey2050 (GWh original)'!H29)/277.8,'Sankey2050 (GWh original)'!H29)</f>
        <v>Kraftstoffe</v>
      </c>
      <c r="I29" s="3" t="str">
        <f>IF(ISNUMBER('Sankey2050 (GWh original)'!I29),('Sankey2050 (GWh original)'!I29)/277.8,'Sankey2050 (GWh original)'!I29)</f>
        <v>Gas</v>
      </c>
      <c r="J29" s="3" t="str">
        <f>IF(ISNUMBER('Sankey2050 (GWh original)'!J29),('Sankey2050 (GWh original)'!J29)/277.8,'Sankey2050 (GWh original)'!J29)</f>
        <v>Summe</v>
      </c>
      <c r="K29" s="23" t="str">
        <f>IF(ISNUMBER('Sankey2050 (GWh original)'!K29),('Sankey2050 (GWh original)'!K29)/277.8,'Sankey2050 (GWh original)'!K29)</f>
        <v>Strom lokal</v>
      </c>
      <c r="L29" s="38" t="str">
        <f>IF(ISNUMBER('Sankey2050 (GWh original)'!L29),('Sankey2050 (GWh original)'!L29)/277.8,'Sankey2050 (GWh original)'!L29)</f>
        <v>Differenz/Verluste</v>
      </c>
      <c r="M29">
        <f>IF(ISNUMBER('Sankey2050 (GWh original)'!M29),('Sankey2050 (GWh original)'!M29)/277.8,'Sankey2050 (GWh original)'!M29)</f>
        <v>0</v>
      </c>
      <c r="N29">
        <f>IF(ISNUMBER('Sankey2050 (GWh original)'!N29),('Sankey2050 (GWh original)'!N29)/277.8,'Sankey2050 (GWh original)'!N29)</f>
        <v>0</v>
      </c>
    </row>
    <row r="30" spans="1:14" x14ac:dyDescent="0.25">
      <c r="A30">
        <f>IF(ISNUMBER('Sankey2050 (GWh original)'!A30),('Sankey2050 (GWh original)'!A30)/277.8,'Sankey2050 (GWh original)'!A30)</f>
        <v>0</v>
      </c>
      <c r="B30" s="3" t="str">
        <f>IF(ISNUMBER('Sankey2050 (GWh original)'!B30),('Sankey2050 (GWh original)'!B30)/277.8,'Sankey2050 (GWh original)'!B30)</f>
        <v>Biomasse</v>
      </c>
      <c r="C30" s="74">
        <f>IF(ISNUMBER('Sankey2050 (GWh original)'!C30),('Sankey2050 (GWh original)'!C30)/277.8,'Sankey2050 (GWh original)'!C30)</f>
        <v>292.98056155507561</v>
      </c>
      <c r="D30" s="74">
        <f>IF(ISNUMBER('Sankey2050 (GWh original)'!D30),('Sankey2050 (GWh original)'!D30)/277.8,'Sankey2050 (GWh original)'!D30)</f>
        <v>7.0052929798392052</v>
      </c>
      <c r="E30" s="74">
        <f>IF(ISNUMBER('Sankey2050 (GWh original)'!E30),('Sankey2050 (GWh original)'!E30)/277.8,'Sankey2050 (GWh original)'!E30)</f>
        <v>0</v>
      </c>
      <c r="F30" s="74">
        <f>IF(ISNUMBER('Sankey2050 (GWh original)'!F30),('Sankey2050 (GWh original)'!F30)/277.8,'Sankey2050 (GWh original)'!F30)</f>
        <v>64.99480561555076</v>
      </c>
      <c r="G30" s="74">
        <f>IF(ISNUMBER('Sankey2050 (GWh original)'!G30),('Sankey2050 (GWh original)'!G30)/277.8,'Sankey2050 (GWh original)'!G30)</f>
        <v>102.29182483801296</v>
      </c>
      <c r="H30" s="74">
        <f>IF(ISNUMBER('Sankey2050 (GWh original)'!H30),('Sankey2050 (GWh original)'!H30)/277.8,'Sankey2050 (GWh original)'!H30)</f>
        <v>22.698185961123109</v>
      </c>
      <c r="I30" s="74">
        <f>IF(ISNUMBER('Sankey2050 (GWh original)'!I30),('Sankey2050 (GWh original)'!I30)/277.8,'Sankey2050 (GWh original)'!I30)</f>
        <v>14.6988252699784</v>
      </c>
      <c r="J30" s="74">
        <f>IF(ISNUMBER('Sankey2050 (GWh original)'!J30),('Sankey2050 (GWh original)'!J30)/277.8,'Sankey2050 (GWh original)'!J30)</f>
        <v>214.86990953800282</v>
      </c>
      <c r="K30" s="74">
        <f>IF(ISNUMBER('Sankey2050 (GWh original)'!K30),('Sankey2050 (GWh original)'!K30)/277.8,'Sankey2050 (GWh original)'!K30)</f>
        <v>3.1809748734984149</v>
      </c>
      <c r="L30" s="49">
        <f>IF(ISNUMBER('Sankey2050 (GWh original)'!L30),('Sankey2050 (GWh original)'!L30)/277.8,'Sankey2050 (GWh original)'!L30)</f>
        <v>78.110652017072766</v>
      </c>
      <c r="M30" s="408">
        <f>IF(ISNUMBER('Sankey2050 (GWh original)'!M30),('Sankey2050 (GWh original)'!M30)/277.8,'Sankey2050 (GWh original)'!M30)</f>
        <v>0.77346979675306982</v>
      </c>
      <c r="N30">
        <f>IF(ISNUMBER('Sankey2050 (GWh original)'!N30),('Sankey2050 (GWh original)'!N30)/277.8,'Sankey2050 (GWh original)'!N30)</f>
        <v>0</v>
      </c>
    </row>
    <row r="31" spans="1:14" x14ac:dyDescent="0.25">
      <c r="A31">
        <f>IF(ISNUMBER('Sankey2050 (GWh original)'!A31),('Sankey2050 (GWh original)'!A31)/277.8,'Sankey2050 (GWh original)'!A31)</f>
        <v>0</v>
      </c>
      <c r="B31" s="3" t="str">
        <f>IF(ISNUMBER('Sankey2050 (GWh original)'!B31),('Sankey2050 (GWh original)'!B31)/277.8,'Sankey2050 (GWh original)'!B31)</f>
        <v>Wasserkraft</v>
      </c>
      <c r="C31" s="74">
        <f>IF(ISNUMBER('Sankey2050 (GWh original)'!C31),('Sankey2050 (GWh original)'!C31)/277.8,'Sankey2050 (GWh original)'!C31)</f>
        <v>176.98704103671705</v>
      </c>
      <c r="D31" s="74">
        <f>IF(ISNUMBER('Sankey2050 (GWh original)'!D31),('Sankey2050 (GWh original)'!D31)/277.8,'Sankey2050 (GWh original)'!D31)</f>
        <v>121.9902505399568</v>
      </c>
      <c r="E31" s="74">
        <f>IF(ISNUMBER('Sankey2050 (GWh original)'!E31),('Sankey2050 (GWh original)'!E31)/277.8,'Sankey2050 (GWh original)'!E31)</f>
        <v>54.995604751619872</v>
      </c>
      <c r="F31" s="74">
        <f>IF(ISNUMBER('Sankey2050 (GWh original)'!F31),('Sankey2050 (GWh original)'!F31)/277.8,'Sankey2050 (GWh original)'!F31)</f>
        <v>0</v>
      </c>
      <c r="G31" s="74">
        <f>IF(ISNUMBER('Sankey2050 (GWh original)'!G31),('Sankey2050 (GWh original)'!G31)/277.8,'Sankey2050 (GWh original)'!G31)</f>
        <v>0</v>
      </c>
      <c r="H31" s="74">
        <f>IF(ISNUMBER('Sankey2050 (GWh original)'!H31),('Sankey2050 (GWh original)'!H31)/277.8,'Sankey2050 (GWh original)'!H31)</f>
        <v>0</v>
      </c>
      <c r="I31" s="74">
        <f>IF(ISNUMBER('Sankey2050 (GWh original)'!I31),('Sankey2050 (GWh original)'!I31)/277.8,'Sankey2050 (GWh original)'!I31)</f>
        <v>0</v>
      </c>
      <c r="J31" s="74">
        <f>IF(ISNUMBER('Sankey2050 (GWh original)'!J31),('Sankey2050 (GWh original)'!J31)/277.8,'Sankey2050 (GWh original)'!J31)</f>
        <v>176.98585529157668</v>
      </c>
      <c r="K31" s="74">
        <f>IF(ISNUMBER('Sankey2050 (GWh original)'!K31),('Sankey2050 (GWh original)'!K31)/277.8,'Sankey2050 (GWh original)'!K31)</f>
        <v>0</v>
      </c>
      <c r="L31" s="49">
        <f>IF(ISNUMBER('Sankey2050 (GWh original)'!L31),('Sankey2050 (GWh original)'!L31)/277.8,'Sankey2050 (GWh original)'!L31)</f>
        <v>1.1857451403710425E-3</v>
      </c>
      <c r="M31" s="408">
        <f>IF(ISNUMBER('Sankey2050 (GWh original)'!M31),('Sankey2050 (GWh original)'!M31)/277.8,'Sankey2050 (GWh original)'!M31)</f>
        <v>0.63709811120077997</v>
      </c>
      <c r="N31">
        <f>IF(ISNUMBER('Sankey2050 (GWh original)'!N31),('Sankey2050 (GWh original)'!N31)/277.8,'Sankey2050 (GWh original)'!N31)</f>
        <v>0</v>
      </c>
    </row>
    <row r="32" spans="1:14" x14ac:dyDescent="0.25">
      <c r="A32">
        <f>IF(ISNUMBER('Sankey2050 (GWh original)'!A32),('Sankey2050 (GWh original)'!A32)/277.8,'Sankey2050 (GWh original)'!A32)</f>
        <v>0</v>
      </c>
      <c r="B32" s="3" t="str">
        <f>IF(ISNUMBER('Sankey2050 (GWh original)'!B32),('Sankey2050 (GWh original)'!B32)/277.8,'Sankey2050 (GWh original)'!B32)</f>
        <v>Windenergie</v>
      </c>
      <c r="C32" s="74">
        <f>IF(ISNUMBER('Sankey2050 (GWh original)'!C32),('Sankey2050 (GWh original)'!C32)/277.8,'Sankey2050 (GWh original)'!C32)</f>
        <v>108.85895968322534</v>
      </c>
      <c r="D32" s="74">
        <f>IF(ISNUMBER('Sankey2050 (GWh original)'!D32),('Sankey2050 (GWh original)'!D32)/277.8,'Sankey2050 (GWh original)'!D32)</f>
        <v>86.009792764578819</v>
      </c>
      <c r="E32" s="74">
        <f>IF(ISNUMBER('Sankey2050 (GWh original)'!E32),('Sankey2050 (GWh original)'!E32)/277.8,'Sankey2050 (GWh original)'!E32)</f>
        <v>22.848173974082073</v>
      </c>
      <c r="F32" s="74">
        <f>IF(ISNUMBER('Sankey2050 (GWh original)'!F32),('Sankey2050 (GWh original)'!F32)/277.8,'Sankey2050 (GWh original)'!F32)</f>
        <v>0</v>
      </c>
      <c r="G32" s="74">
        <f>IF(ISNUMBER('Sankey2050 (GWh original)'!G32),('Sankey2050 (GWh original)'!G32)/277.8,'Sankey2050 (GWh original)'!G32)</f>
        <v>0</v>
      </c>
      <c r="H32" s="74">
        <f>IF(ISNUMBER('Sankey2050 (GWh original)'!H32),('Sankey2050 (GWh original)'!H32)/277.8,'Sankey2050 (GWh original)'!H32)</f>
        <v>0</v>
      </c>
      <c r="I32" s="74">
        <f>IF(ISNUMBER('Sankey2050 (GWh original)'!I32),('Sankey2050 (GWh original)'!I32)/277.8,'Sankey2050 (GWh original)'!I32)</f>
        <v>0</v>
      </c>
      <c r="J32" s="74">
        <f>IF(ISNUMBER('Sankey2050 (GWh original)'!J32),('Sankey2050 (GWh original)'!J32)/277.8,'Sankey2050 (GWh original)'!J32)</f>
        <v>108.85796673866089</v>
      </c>
      <c r="K32" s="74">
        <f>IF(ISNUMBER('Sankey2050 (GWh original)'!K32),('Sankey2050 (GWh original)'!K32)/277.8,'Sankey2050 (GWh original)'!K32)</f>
        <v>0</v>
      </c>
      <c r="L32" s="49">
        <f>IF(ISNUMBER('Sankey2050 (GWh original)'!L32),('Sankey2050 (GWh original)'!L32)/277.8,'Sankey2050 (GWh original)'!L32)</f>
        <v>9.9294456444227086E-4</v>
      </c>
      <c r="M32" s="408">
        <f>IF(ISNUMBER('Sankey2050 (GWh original)'!M32),('Sankey2050 (GWh original)'!M32)/277.8,'Sankey2050 (GWh original)'!M32)</f>
        <v>0.39185733167264536</v>
      </c>
      <c r="N32">
        <f>IF(ISNUMBER('Sankey2050 (GWh original)'!N32),('Sankey2050 (GWh original)'!N32)/277.8,'Sankey2050 (GWh original)'!N32)</f>
        <v>0</v>
      </c>
    </row>
    <row r="33" spans="1:14" x14ac:dyDescent="0.25">
      <c r="A33">
        <f>IF(ISNUMBER('Sankey2050 (GWh original)'!A33),('Sankey2050 (GWh original)'!A33)/277.8,'Sankey2050 (GWh original)'!A33)</f>
        <v>0</v>
      </c>
      <c r="B33" s="14" t="str">
        <f>IF(ISNUMBER('Sankey2050 (GWh original)'!B33),('Sankey2050 (GWh original)'!B33)/277.8,'Sankey2050 (GWh original)'!B33)</f>
        <v>Summe</v>
      </c>
      <c r="C33" s="44">
        <f>IF(ISNUMBER('Sankey2050 (GWh original)'!C33),('Sankey2050 (GWh original)'!C33)/277.8,'Sankey2050 (GWh original)'!C33)</f>
        <v>0</v>
      </c>
      <c r="D33" s="44">
        <f>IF(ISNUMBER('Sankey2050 (GWh original)'!D33),('Sankey2050 (GWh original)'!D33)/277.8,'Sankey2050 (GWh original)'!D33)</f>
        <v>0</v>
      </c>
      <c r="E33" s="44">
        <f>IF(ISNUMBER('Sankey2050 (GWh original)'!E33),('Sankey2050 (GWh original)'!E33)/277.8,'Sankey2050 (GWh original)'!E33)</f>
        <v>0</v>
      </c>
      <c r="F33" s="44">
        <f>IF(ISNUMBER('Sankey2050 (GWh original)'!F33),('Sankey2050 (GWh original)'!F33)/277.8,'Sankey2050 (GWh original)'!F33)</f>
        <v>0</v>
      </c>
      <c r="G33" s="44">
        <f>IF(ISNUMBER('Sankey2050 (GWh original)'!G33),('Sankey2050 (GWh original)'!G33)/277.8,'Sankey2050 (GWh original)'!G33)</f>
        <v>0</v>
      </c>
      <c r="H33" s="44">
        <f>IF(ISNUMBER('Sankey2050 (GWh original)'!H33),('Sankey2050 (GWh original)'!H33)/277.8,'Sankey2050 (GWh original)'!H33)</f>
        <v>0</v>
      </c>
      <c r="I33" s="44">
        <f>IF(ISNUMBER('Sankey2050 (GWh original)'!I33),('Sankey2050 (GWh original)'!I33)/277.8,'Sankey2050 (GWh original)'!I33)</f>
        <v>0</v>
      </c>
      <c r="J33" s="44">
        <f>IF(ISNUMBER('Sankey2050 (GWh original)'!J33),('Sankey2050 (GWh original)'!J33)/277.8,'Sankey2050 (GWh original)'!J33)</f>
        <v>0</v>
      </c>
      <c r="K33" s="44">
        <f>IF(ISNUMBER('Sankey2050 (GWh original)'!K33),('Sankey2050 (GWh original)'!K33)/277.8,'Sankey2050 (GWh original)'!K33)</f>
        <v>0</v>
      </c>
      <c r="L33" s="49">
        <f>IF(ISNUMBER('Sankey2050 (GWh original)'!L33),('Sankey2050 (GWh original)'!L33)/277.8,'Sankey2050 (GWh original)'!L33)</f>
        <v>0</v>
      </c>
      <c r="M33" s="408">
        <f>IF(ISNUMBER('Sankey2050 (GWh original)'!M33),('Sankey2050 (GWh original)'!M33)/277.8,'Sankey2050 (GWh original)'!M33)</f>
        <v>0</v>
      </c>
      <c r="N33">
        <f>IF(ISNUMBER('Sankey2050 (GWh original)'!N33),('Sankey2050 (GWh original)'!N33)/277.8,'Sankey2050 (GWh original)'!N33)</f>
        <v>0</v>
      </c>
    </row>
    <row r="34" spans="1:14" x14ac:dyDescent="0.25">
      <c r="A34">
        <f>IF(ISNUMBER('Sankey2050 (GWh original)'!A34),('Sankey2050 (GWh original)'!A34)/277.8,'Sankey2050 (GWh original)'!A34)</f>
        <v>0</v>
      </c>
      <c r="B34" s="3" t="str">
        <f>IF(ISNUMBER('Sankey2050 (GWh original)'!B34),('Sankey2050 (GWh original)'!B34)/277.8,'Sankey2050 (GWh original)'!B34)</f>
        <v>Photovoltaik</v>
      </c>
      <c r="C34" s="74">
        <f>IF(ISNUMBER('Sankey2050 (GWh original)'!C34),('Sankey2050 (GWh original)'!C34)/277.8,'Sankey2050 (GWh original)'!C34)</f>
        <v>127.35787976961842</v>
      </c>
      <c r="D34" s="74">
        <f>IF(ISNUMBER('Sankey2050 (GWh original)'!D34),('Sankey2050 (GWh original)'!D34)/277.8,'Sankey2050 (GWh original)'!D34)</f>
        <v>99.508713930885534</v>
      </c>
      <c r="E34" s="74">
        <f>IF(ISNUMBER('Sankey2050 (GWh original)'!E34),('Sankey2050 (GWh original)'!E34)/277.8,'Sankey2050 (GWh original)'!E34)</f>
        <v>27.847774406047517</v>
      </c>
      <c r="F34" s="74">
        <f>IF(ISNUMBER('Sankey2050 (GWh original)'!F34),('Sankey2050 (GWh original)'!F34)/277.8,'Sankey2050 (GWh original)'!F34)</f>
        <v>0</v>
      </c>
      <c r="G34" s="74">
        <f>IF(ISNUMBER('Sankey2050 (GWh original)'!G34),('Sankey2050 (GWh original)'!G34)/277.8,'Sankey2050 (GWh original)'!G34)</f>
        <v>0</v>
      </c>
      <c r="H34" s="74">
        <f>IF(ISNUMBER('Sankey2050 (GWh original)'!H34),('Sankey2050 (GWh original)'!H34)/277.8,'Sankey2050 (GWh original)'!H34)</f>
        <v>0</v>
      </c>
      <c r="I34" s="74">
        <f>IF(ISNUMBER('Sankey2050 (GWh original)'!I34),('Sankey2050 (GWh original)'!I34)/277.8,'Sankey2050 (GWh original)'!I34)</f>
        <v>0</v>
      </c>
      <c r="J34" s="74">
        <f>IF(ISNUMBER('Sankey2050 (GWh original)'!J34),('Sankey2050 (GWh original)'!J34)/277.8,'Sankey2050 (GWh original)'!J34)</f>
        <v>127.35648833693307</v>
      </c>
      <c r="K34" s="74">
        <f>IF(ISNUMBER('Sankey2050 (GWh original)'!K34),('Sankey2050 (GWh original)'!K34)/277.8,'Sankey2050 (GWh original)'!K34)</f>
        <v>0</v>
      </c>
      <c r="L34" s="49">
        <f>IF(ISNUMBER('Sankey2050 (GWh original)'!L34),('Sankey2050 (GWh original)'!L34)/277.8,'Sankey2050 (GWh original)'!L34)</f>
        <v>1.391432685357226E-3</v>
      </c>
      <c r="M34" s="408">
        <f>IF(ISNUMBER('Sankey2050 (GWh original)'!M34),('Sankey2050 (GWh original)'!M34)/277.8,'Sankey2050 (GWh original)'!M34)</f>
        <v>0.45844668227837676</v>
      </c>
      <c r="N34">
        <f>IF(ISNUMBER('Sankey2050 (GWh original)'!N34),('Sankey2050 (GWh original)'!N34)/277.8,'Sankey2050 (GWh original)'!N34)</f>
        <v>0</v>
      </c>
    </row>
    <row r="35" spans="1:14" x14ac:dyDescent="0.25">
      <c r="A35">
        <f>IF(ISNUMBER('Sankey2050 (GWh original)'!A35),('Sankey2050 (GWh original)'!A35)/277.8,'Sankey2050 (GWh original)'!A35)</f>
        <v>0</v>
      </c>
      <c r="B35" s="3" t="str">
        <f>IF(ISNUMBER('Sankey2050 (GWh original)'!B35),('Sankey2050 (GWh original)'!B35)/277.8,'Sankey2050 (GWh original)'!B35)</f>
        <v>Solarthermie</v>
      </c>
      <c r="C35" s="74">
        <f>IF(ISNUMBER('Sankey2050 (GWh original)'!C35),('Sankey2050 (GWh original)'!C35)/277.8,'Sankey2050 (GWh original)'!C35)</f>
        <v>74.992800575953922</v>
      </c>
      <c r="D35" s="74">
        <f>IF(ISNUMBER('Sankey2050 (GWh original)'!D35),('Sankey2050 (GWh original)'!D35)/277.8,'Sankey2050 (GWh original)'!D35)</f>
        <v>0</v>
      </c>
      <c r="E35" s="74">
        <f>IF(ISNUMBER('Sankey2050 (GWh original)'!E35),('Sankey2050 (GWh original)'!E35)/277.8,'Sankey2050 (GWh original)'!E35)</f>
        <v>0</v>
      </c>
      <c r="F35" s="74">
        <f>IF(ISNUMBER('Sankey2050 (GWh original)'!F35),('Sankey2050 (GWh original)'!F35)/277.8,'Sankey2050 (GWh original)'!F35)</f>
        <v>0</v>
      </c>
      <c r="G35" s="74">
        <f>IF(ISNUMBER('Sankey2050 (GWh original)'!G35),('Sankey2050 (GWh original)'!G35)/277.8,'Sankey2050 (GWh original)'!G35)</f>
        <v>74.992800575953922</v>
      </c>
      <c r="H35" s="74">
        <f>IF(ISNUMBER('Sankey2050 (GWh original)'!H35),('Sankey2050 (GWh original)'!H35)/277.8,'Sankey2050 (GWh original)'!H35)</f>
        <v>0</v>
      </c>
      <c r="I35" s="74">
        <f>IF(ISNUMBER('Sankey2050 (GWh original)'!I35),('Sankey2050 (GWh original)'!I35)/277.8,'Sankey2050 (GWh original)'!I35)</f>
        <v>0</v>
      </c>
      <c r="J35" s="74">
        <f>IF(ISNUMBER('Sankey2050 (GWh original)'!J35),('Sankey2050 (GWh original)'!J35)/277.8,'Sankey2050 (GWh original)'!J35)</f>
        <v>74.992800575953922</v>
      </c>
      <c r="K35" s="74">
        <f>IF(ISNUMBER('Sankey2050 (GWh original)'!K35),('Sankey2050 (GWh original)'!K35)/277.8,'Sankey2050 (GWh original)'!K35)</f>
        <v>0</v>
      </c>
      <c r="L35" s="49">
        <f>IF(ISNUMBER('Sankey2050 (GWh original)'!L35),('Sankey2050 (GWh original)'!L35)/277.8,'Sankey2050 (GWh original)'!L35)</f>
        <v>0</v>
      </c>
      <c r="M35" s="408">
        <f>IF(ISNUMBER('Sankey2050 (GWh original)'!M35),('Sankey2050 (GWh original)'!M35)/277.8,'Sankey2050 (GWh original)'!M35)</f>
        <v>0.26995248587456416</v>
      </c>
      <c r="N35">
        <f>IF(ISNUMBER('Sankey2050 (GWh original)'!N35),('Sankey2050 (GWh original)'!N35)/277.8,'Sankey2050 (GWh original)'!N35)</f>
        <v>0</v>
      </c>
    </row>
    <row r="36" spans="1:14" x14ac:dyDescent="0.25">
      <c r="A36">
        <f>IF(ISNUMBER('Sankey2050 (GWh original)'!A36),('Sankey2050 (GWh original)'!A36)/277.8,'Sankey2050 (GWh original)'!A36)</f>
        <v>0</v>
      </c>
      <c r="B36" s="3" t="str">
        <f>IF(ISNUMBER('Sankey2050 (GWh original)'!B36),('Sankey2050 (GWh original)'!B36)/277.8,'Sankey2050 (GWh original)'!B36)</f>
        <v>Oberflächennahe Umweltwärme</v>
      </c>
      <c r="C36" s="74">
        <f>IF(ISNUMBER('Sankey2050 (GWh original)'!C36),('Sankey2050 (GWh original)'!C36)/277.8,'Sankey2050 (GWh original)'!C36)</f>
        <v>67.994960403167738</v>
      </c>
      <c r="D36" s="74">
        <f>IF(ISNUMBER('Sankey2050 (GWh original)'!D36),('Sankey2050 (GWh original)'!D36)/277.8,'Sankey2050 (GWh original)'!D36)</f>
        <v>0</v>
      </c>
      <c r="E36" s="74">
        <f>IF(ISNUMBER('Sankey2050 (GWh original)'!E36),('Sankey2050 (GWh original)'!E36)/277.8,'Sankey2050 (GWh original)'!E36)</f>
        <v>0</v>
      </c>
      <c r="F36" s="74">
        <f>IF(ISNUMBER('Sankey2050 (GWh original)'!F36),('Sankey2050 (GWh original)'!F36)/277.8,'Sankey2050 (GWh original)'!F36)</f>
        <v>0</v>
      </c>
      <c r="G36" s="74">
        <f>IF(ISNUMBER('Sankey2050 (GWh original)'!G36),('Sankey2050 (GWh original)'!G36)/277.8,'Sankey2050 (GWh original)'!G36)</f>
        <v>67.994960403167738</v>
      </c>
      <c r="H36" s="74">
        <f>IF(ISNUMBER('Sankey2050 (GWh original)'!H36),('Sankey2050 (GWh original)'!H36)/277.8,'Sankey2050 (GWh original)'!H36)</f>
        <v>0</v>
      </c>
      <c r="I36" s="74">
        <f>IF(ISNUMBER('Sankey2050 (GWh original)'!I36),('Sankey2050 (GWh original)'!I36)/277.8,'Sankey2050 (GWh original)'!I36)</f>
        <v>0</v>
      </c>
      <c r="J36" s="74">
        <f>IF(ISNUMBER('Sankey2050 (GWh original)'!J36),('Sankey2050 (GWh original)'!J36)/277.8,'Sankey2050 (GWh original)'!J36)</f>
        <v>67.994960403167738</v>
      </c>
      <c r="K36" s="74">
        <f>IF(ISNUMBER('Sankey2050 (GWh original)'!K36),('Sankey2050 (GWh original)'!K36)/277.8,'Sankey2050 (GWh original)'!K36)</f>
        <v>0</v>
      </c>
      <c r="L36" s="49">
        <f>IF(ISNUMBER('Sankey2050 (GWh original)'!L36),('Sankey2050 (GWh original)'!L36)/277.8,'Sankey2050 (GWh original)'!L36)</f>
        <v>0</v>
      </c>
      <c r="M36" s="408">
        <f>IF(ISNUMBER('Sankey2050 (GWh original)'!M36),('Sankey2050 (GWh original)'!M36)/277.8,'Sankey2050 (GWh original)'!M36)</f>
        <v>0.24476227646928631</v>
      </c>
      <c r="N36">
        <f>IF(ISNUMBER('Sankey2050 (GWh original)'!N36),('Sankey2050 (GWh original)'!N36)/277.8,'Sankey2050 (GWh original)'!N36)</f>
        <v>0</v>
      </c>
    </row>
    <row r="37" spans="1:14" x14ac:dyDescent="0.25">
      <c r="A37">
        <f>IF(ISNUMBER('Sankey2050 (GWh original)'!A37),('Sankey2050 (GWh original)'!A37)/277.8,'Sankey2050 (GWh original)'!A37)</f>
        <v>0</v>
      </c>
      <c r="B37" s="14" t="str">
        <f>IF(ISNUMBER('Sankey2050 (GWh original)'!B37),('Sankey2050 (GWh original)'!B37)/277.8,'Sankey2050 (GWh original)'!B37)</f>
        <v>Summe</v>
      </c>
      <c r="C37" s="44">
        <f>IF(ISNUMBER('Sankey2050 (GWh original)'!C37),('Sankey2050 (GWh original)'!C37)/277.8,'Sankey2050 (GWh original)'!C37)</f>
        <v>849.17220302375802</v>
      </c>
      <c r="D37" s="44">
        <f>IF(ISNUMBER('Sankey2050 (GWh original)'!D37),('Sankey2050 (GWh original)'!D37)/277.8,'Sankey2050 (GWh original)'!D37)</f>
        <v>314.51405021526034</v>
      </c>
      <c r="E37" s="44">
        <f>IF(ISNUMBER('Sankey2050 (GWh original)'!E37),('Sankey2050 (GWh original)'!E37)/277.8,'Sankey2050 (GWh original)'!E37)</f>
        <v>105.69155313174946</v>
      </c>
      <c r="F37" s="44">
        <f>IF(ISNUMBER('Sankey2050 (GWh original)'!F37),('Sankey2050 (GWh original)'!F37)/277.8,'Sankey2050 (GWh original)'!F37)</f>
        <v>64.99480561555076</v>
      </c>
      <c r="G37" s="44">
        <f>IF(ISNUMBER('Sankey2050 (GWh original)'!G37),('Sankey2050 (GWh original)'!G37)/277.8,'Sankey2050 (GWh original)'!G37)</f>
        <v>245.27958581713463</v>
      </c>
      <c r="H37" s="44">
        <f>IF(ISNUMBER('Sankey2050 (GWh original)'!H37),('Sankey2050 (GWh original)'!H37)/277.8,'Sankey2050 (GWh original)'!H37)</f>
        <v>22.698185961123109</v>
      </c>
      <c r="I37" s="44">
        <f>IF(ISNUMBER('Sankey2050 (GWh original)'!I37),('Sankey2050 (GWh original)'!I37)/277.8,'Sankey2050 (GWh original)'!I37)</f>
        <v>14.6988252699784</v>
      </c>
      <c r="J37" s="44">
        <f>IF(ISNUMBER('Sankey2050 (GWh original)'!J37),('Sankey2050 (GWh original)'!J37)/277.8,'Sankey2050 (GWh original)'!J37)</f>
        <v>771.05798088429515</v>
      </c>
      <c r="K37" s="44">
        <f>IF(ISNUMBER('Sankey2050 (GWh original)'!K37),('Sankey2050 (GWh original)'!K37)/277.8,'Sankey2050 (GWh original)'!K37)</f>
        <v>0</v>
      </c>
      <c r="L37" s="49">
        <f>IF(ISNUMBER('Sankey2050 (GWh original)'!L37),('Sankey2050 (GWh original)'!L37)/277.8,'Sankey2050 (GWh original)'!L37)</f>
        <v>0</v>
      </c>
      <c r="M37" s="408">
        <f>IF(ISNUMBER('Sankey2050 (GWh original)'!M37),('Sankey2050 (GWh original)'!M37)/277.8,'Sankey2050 (GWh original)'!M37)</f>
        <v>2.7755866842487227</v>
      </c>
      <c r="N37">
        <f>IF(ISNUMBER('Sankey2050 (GWh original)'!N37),('Sankey2050 (GWh original)'!N37)/277.8,'Sankey2050 (GWh original)'!N37)</f>
        <v>0</v>
      </c>
    </row>
    <row r="38" spans="1:14" x14ac:dyDescent="0.25">
      <c r="A38">
        <f>IF(ISNUMBER('Sankey2050 (GWh original)'!A38),('Sankey2050 (GWh original)'!A38)/277.8,'Sankey2050 (GWh original)'!A38)</f>
        <v>0</v>
      </c>
      <c r="D38" s="408"/>
      <c r="E38" s="408"/>
      <c r="M38">
        <f>IF(ISNUMBER('Sankey2050 (GWh original)'!M38),('Sankey2050 (GWh original)'!M38)/277.8,'Sankey2050 (GWh original)'!M38)</f>
        <v>0</v>
      </c>
      <c r="N38">
        <f>IF(ISNUMBER('Sankey2050 (GWh original)'!N38),('Sankey2050 (GWh original)'!N38)/277.8,'Sankey2050 (GWh original)'!N38)</f>
        <v>0</v>
      </c>
    </row>
    <row r="39" spans="1:14" x14ac:dyDescent="0.25">
      <c r="A39">
        <f>IF(ISNUMBER('Sankey2050 (GWh original)'!A39),('Sankey2050 (GWh original)'!A39)/277.8,'Sankey2050 (GWh original)'!A39)</f>
        <v>0</v>
      </c>
      <c r="M39">
        <f>IF(ISNUMBER('Sankey2050 (GWh original)'!M39),('Sankey2050 (GWh original)'!M39)/277.8,'Sankey2050 (GWh original)'!M39)</f>
        <v>0</v>
      </c>
      <c r="N39">
        <f>IF(ISNUMBER('Sankey2050 (GWh original)'!N39),('Sankey2050 (GWh original)'!N39)/277.8,'Sankey2050 (GWh original)'!N39)</f>
        <v>0</v>
      </c>
    </row>
    <row r="40" spans="1:14" x14ac:dyDescent="0.25">
      <c r="A40">
        <f>IF(ISNUMBER('Sankey2050 (GWh original)'!A40),('Sankey2050 (GWh original)'!A40)/277.8,'Sankey2050 (GWh original)'!A40)</f>
        <v>0</v>
      </c>
      <c r="B40" s="26" t="str">
        <f>IF(ISNUMBER('Sankey2050 (GWh original)'!B40),('Sankey2050 (GWh original)'!B40)/277.8,'Sankey2050 (GWh original)'!B40)</f>
        <v>Endenergieverbrauch [GWh]</v>
      </c>
      <c r="C40" s="27">
        <f>IF(ISNUMBER('Sankey2050 (GWh original)'!C40),('Sankey2050 (GWh original)'!C40)/277.8,'Sankey2050 (GWh original)'!C40)</f>
        <v>0</v>
      </c>
      <c r="D40" s="409"/>
      <c r="E40" s="27">
        <f>IF(ISNUMBER('Sankey2050 (GWh original)'!E40),('Sankey2050 (GWh original)'!E40)/277.8,'Sankey2050 (GWh original)'!E40)</f>
        <v>0</v>
      </c>
      <c r="F40" s="28">
        <f>IF(ISNUMBER('Sankey2050 (GWh original)'!F40),('Sankey2050 (GWh original)'!F40)/277.8,'Sankey2050 (GWh original)'!F40)</f>
        <v>0</v>
      </c>
      <c r="G40">
        <f>IF(ISNUMBER('Sankey2050 (GWh original)'!G40),('Sankey2050 (GWh original)'!G40)/277.8,'Sankey2050 (GWh original)'!G40)</f>
        <v>0</v>
      </c>
      <c r="H40" s="32" t="str">
        <f>IF(ISNUMBER('Sankey2050 (GWh original)'!H40),('Sankey2050 (GWh original)'!H40)/277.8,'Sankey2050 (GWh original)'!H40)</f>
        <v>Endenergie Strom ohne Methanisierung [GWh]</v>
      </c>
      <c r="I40" s="23">
        <f>IF(ISNUMBER('Sankey2050 (GWh original)'!I40),('Sankey2050 (GWh original)'!I40)/277.8,'Sankey2050 (GWh original)'!I40)</f>
        <v>199.16531180654377</v>
      </c>
      <c r="J40" s="10">
        <f>IF(ISNUMBER('Sankey2050 (GWh original)'!J40),('Sankey2050 (GWh original)'!J40)/277.8,'Sankey2050 (GWh original)'!J40)</f>
        <v>0.71693776748215898</v>
      </c>
      <c r="K40">
        <f>IF(ISNUMBER('Sankey2050 (GWh original)'!K40),('Sankey2050 (GWh original)'!K40)/277.8,'Sankey2050 (GWh original)'!K40)</f>
        <v>0</v>
      </c>
      <c r="L40">
        <f>IF(ISNUMBER('Sankey2050 (GWh original)'!L40),('Sankey2050 (GWh original)'!L40)/277.8,'Sankey2050 (GWh original)'!L40)</f>
        <v>0</v>
      </c>
      <c r="M40">
        <f>IF(ISNUMBER('Sankey2050 (GWh original)'!M40),('Sankey2050 (GWh original)'!M40)/277.8,'Sankey2050 (GWh original)'!M40)</f>
        <v>0</v>
      </c>
      <c r="N40">
        <f>IF(ISNUMBER('Sankey2050 (GWh original)'!N40),('Sankey2050 (GWh original)'!N40)/277.8,'Sankey2050 (GWh original)'!N40)</f>
        <v>0</v>
      </c>
    </row>
    <row r="41" spans="1:14" x14ac:dyDescent="0.25">
      <c r="A41">
        <f>IF(ISNUMBER('Sankey2050 (GWh original)'!A41),('Sankey2050 (GWh original)'!A41)/277.8,'Sankey2050 (GWh original)'!A41)</f>
        <v>0</v>
      </c>
      <c r="B41" s="34" t="str">
        <f>IF(ISNUMBER('Sankey2050 (GWh original)'!B41),('Sankey2050 (GWh original)'!B41)/277.8,'Sankey2050 (GWh original)'!B41)</f>
        <v>Elektrizität gesamt [GWh] (Brutto)</v>
      </c>
      <c r="C41" s="46">
        <f>IF(ISNUMBER('Sankey2050 (GWh original)'!C41),('Sankey2050 (GWh original)'!C41)/277.8,'Sankey2050 (GWh original)'!C41)</f>
        <v>318.90784622030236</v>
      </c>
      <c r="D41" s="9"/>
      <c r="E41" s="24" t="str">
        <f>IF(ISNUMBER('Sankey2050 (GWh original)'!E41),('Sankey2050 (GWh original)'!E41)/277.8,'Sankey2050 (GWh original)'!E41)</f>
        <v>Gebäude</v>
      </c>
      <c r="F41" s="46">
        <f>IF(ISNUMBER('Sankey2050 (GWh original)'!F41),('Sankey2050 (GWh original)'!F41)/277.8,'Sankey2050 (GWh original)'!F41)</f>
        <v>65.99472570194385</v>
      </c>
      <c r="G41">
        <f>IF(ISNUMBER('Sankey2050 (GWh original)'!G41),('Sankey2050 (GWh original)'!G41)/277.8,'Sankey2050 (GWh original)'!G41)</f>
        <v>0</v>
      </c>
      <c r="H41">
        <f>IF(ISNUMBER('Sankey2050 (GWh original)'!H41),('Sankey2050 (GWh original)'!H41)/277.8,'Sankey2050 (GWh original)'!H41)</f>
        <v>0</v>
      </c>
      <c r="I41">
        <f>IF(ISNUMBER('Sankey2050 (GWh original)'!I41),('Sankey2050 (GWh original)'!I41)/277.8,'Sankey2050 (GWh original)'!I41)</f>
        <v>0</v>
      </c>
      <c r="J41">
        <f>IF(ISNUMBER('Sankey2050 (GWh original)'!J41),('Sankey2050 (GWh original)'!J41)/277.8,'Sankey2050 (GWh original)'!J41)</f>
        <v>0</v>
      </c>
      <c r="K41">
        <f>IF(ISNUMBER('Sankey2050 (GWh original)'!K41),('Sankey2050 (GWh original)'!K41)/277.8,'Sankey2050 (GWh original)'!K41)</f>
        <v>0</v>
      </c>
      <c r="L41">
        <f>IF(ISNUMBER('Sankey2050 (GWh original)'!L41),('Sankey2050 (GWh original)'!L41)/277.8,'Sankey2050 (GWh original)'!L41)</f>
        <v>0</v>
      </c>
      <c r="M41">
        <f>IF(ISNUMBER('Sankey2050 (GWh original)'!M41),('Sankey2050 (GWh original)'!M41)/277.8,'Sankey2050 (GWh original)'!M41)</f>
        <v>0</v>
      </c>
      <c r="N41">
        <f>IF(ISNUMBER('Sankey2050 (GWh original)'!N41),('Sankey2050 (GWh original)'!N41)/277.8,'Sankey2050 (GWh original)'!N41)</f>
        <v>0</v>
      </c>
    </row>
    <row r="42" spans="1:14" x14ac:dyDescent="0.25">
      <c r="A42">
        <f>IF(ISNUMBER('Sankey2050 (GWh original)'!A42),('Sankey2050 (GWh original)'!A42)/277.8,'Sankey2050 (GWh original)'!A42)</f>
        <v>0</v>
      </c>
      <c r="B42" s="3" t="str">
        <f>IF(ISNUMBER('Sankey2050 (GWh original)'!B42),('Sankey2050 (GWh original)'!B42)/277.8,'Sankey2050 (GWh original)'!B42)</f>
        <v>Biomasse</v>
      </c>
      <c r="C42" s="74">
        <f>IF(ISNUMBER('Sankey2050 (GWh original)'!C42),('Sankey2050 (GWh original)'!C42)/277.8,'Sankey2050 (GWh original)'!C42)</f>
        <v>10.18626785333762</v>
      </c>
      <c r="D42" s="9"/>
      <c r="E42" s="18" t="str">
        <f>IF(ISNUMBER('Sankey2050 (GWh original)'!E42),('Sankey2050 (GWh original)'!E42)/277.8,'Sankey2050 (GWh original)'!E42)</f>
        <v>Mobilität</v>
      </c>
      <c r="F42" s="74">
        <f>IF(ISNUMBER('Sankey2050 (GWh original)'!F42),('Sankey2050 (GWh original)'!F42)/277.8,'Sankey2050 (GWh original)'!F42)</f>
        <v>81.993447084233267</v>
      </c>
      <c r="G42">
        <f>IF(ISNUMBER('Sankey2050 (GWh original)'!G42),('Sankey2050 (GWh original)'!G42)/277.8,'Sankey2050 (GWh original)'!G42)</f>
        <v>0</v>
      </c>
      <c r="H42" s="42" t="str">
        <f>IF(ISNUMBER('Sankey2050 (GWh original)'!H42),('Sankey2050 (GWh original)'!H42)/277.8,'Sankey2050 (GWh original)'!H42)</f>
        <v>Elektrizität zentral</v>
      </c>
      <c r="I42" s="88" t="str">
        <f>IF(ISNUMBER('Sankey2050 (GWh original)'!I42),('Sankey2050 (GWh original)'!I42)/277.8,'Sankey2050 (GWh original)'!I42)</f>
        <v>Gesamt</v>
      </c>
      <c r="J42" s="3" t="str">
        <f>IF(ISNUMBER('Sankey2050 (GWh original)'!J42),('Sankey2050 (GWh original)'!J42)/277.8,'Sankey2050 (GWh original)'!J42)</f>
        <v>Anteil Pool</v>
      </c>
      <c r="K42">
        <f>IF(ISNUMBER('Sankey2050 (GWh original)'!K42),('Sankey2050 (GWh original)'!K42)/277.8,'Sankey2050 (GWh original)'!K42)</f>
        <v>0</v>
      </c>
      <c r="L42">
        <f>IF(ISNUMBER('Sankey2050 (GWh original)'!L42),('Sankey2050 (GWh original)'!L42)/277.8,'Sankey2050 (GWh original)'!L42)</f>
        <v>0</v>
      </c>
      <c r="M42">
        <f>IF(ISNUMBER('Sankey2050 (GWh original)'!M42),('Sankey2050 (GWh original)'!M42)/277.8,'Sankey2050 (GWh original)'!M42)</f>
        <v>0</v>
      </c>
      <c r="N42">
        <f>IF(ISNUMBER('Sankey2050 (GWh original)'!N42),('Sankey2050 (GWh original)'!N42)/277.8,'Sankey2050 (GWh original)'!N42)</f>
        <v>0</v>
      </c>
    </row>
    <row r="43" spans="1:14" x14ac:dyDescent="0.25">
      <c r="A43">
        <f>IF(ISNUMBER('Sankey2050 (GWh original)'!A43),('Sankey2050 (GWh original)'!A43)/277.8,'Sankey2050 (GWh original)'!A43)</f>
        <v>0</v>
      </c>
      <c r="B43" s="3" t="str">
        <f>IF(ISNUMBER('Sankey2050 (GWh original)'!B43),('Sankey2050 (GWh original)'!B43)/277.8,'Sankey2050 (GWh original)'!B43)</f>
        <v>Wasserkraft</v>
      </c>
      <c r="C43" s="74">
        <f>IF(ISNUMBER('Sankey2050 (GWh original)'!C43),('Sankey2050 (GWh original)'!C43)/277.8,'Sankey2050 (GWh original)'!C43)</f>
        <v>121.9902505399568</v>
      </c>
      <c r="D43" s="9"/>
      <c r="E43" s="18" t="str">
        <f>IF(ISNUMBER('Sankey2050 (GWh original)'!E43),('Sankey2050 (GWh original)'!E43)/277.8,'Sankey2050 (GWh original)'!E43)</f>
        <v>Industrie</v>
      </c>
      <c r="F43" s="74">
        <f>IF(ISNUMBER('Sankey2050 (GWh original)'!F43),('Sankey2050 (GWh original)'!F43)/277.8,'Sankey2050 (GWh original)'!F43)</f>
        <v>88.992887688984879</v>
      </c>
      <c r="G43">
        <f>IF(ISNUMBER('Sankey2050 (GWh original)'!G43),('Sankey2050 (GWh original)'!G43)/277.8,'Sankey2050 (GWh original)'!G43)</f>
        <v>0</v>
      </c>
      <c r="H43" s="3" t="str">
        <f>IF(ISNUMBER('Sankey2050 (GWh original)'!H43),('Sankey2050 (GWh original)'!H43)/277.8,'Sankey2050 (GWh original)'!H43)</f>
        <v>Mobilität</v>
      </c>
      <c r="I43" s="74">
        <f>IF(ISNUMBER('Sankey2050 (GWh original)'!I43),('Sankey2050 (GWh original)'!I43)/277.8,'Sankey2050 (GWh original)'!I43)</f>
        <v>81.993447084233267</v>
      </c>
      <c r="J43" s="74">
        <f>IF(ISNUMBER('Sankey2050 (GWh original)'!J43),('Sankey2050 (GWh original)'!J43)/277.8,'Sankey2050 (GWh original)'!J43)</f>
        <v>61.607959117740016</v>
      </c>
      <c r="K43" s="75">
        <f>IF(ISNUMBER('Sankey2050 (GWh original)'!K43),('Sankey2050 (GWh original)'!K43)/277.8,'Sankey2050 (GWh original)'!K43)</f>
        <v>2.7047394522045514E-3</v>
      </c>
      <c r="L43">
        <f>IF(ISNUMBER('Sankey2050 (GWh original)'!L43),('Sankey2050 (GWh original)'!L43)/277.8,'Sankey2050 (GWh original)'!L43)</f>
        <v>0</v>
      </c>
      <c r="M43">
        <f>IF(ISNUMBER('Sankey2050 (GWh original)'!M43),('Sankey2050 (GWh original)'!M43)/277.8,'Sankey2050 (GWh original)'!M43)</f>
        <v>0</v>
      </c>
      <c r="N43">
        <f>IF(ISNUMBER('Sankey2050 (GWh original)'!N43),('Sankey2050 (GWh original)'!N43)/277.8,'Sankey2050 (GWh original)'!N43)</f>
        <v>0</v>
      </c>
    </row>
    <row r="44" spans="1:14" x14ac:dyDescent="0.25">
      <c r="A44">
        <f>IF(ISNUMBER('Sankey2050 (GWh original)'!A44),('Sankey2050 (GWh original)'!A44)/277.8,'Sankey2050 (GWh original)'!A44)</f>
        <v>0</v>
      </c>
      <c r="B44" s="3" t="str">
        <f>IF(ISNUMBER('Sankey2050 (GWh original)'!B44),('Sankey2050 (GWh original)'!B44)/277.8,'Sankey2050 (GWh original)'!B44)</f>
        <v>Windenergie</v>
      </c>
      <c r="C44" s="74">
        <f>IF(ISNUMBER('Sankey2050 (GWh original)'!C44),('Sankey2050 (GWh original)'!C44)/277.8,'Sankey2050 (GWh original)'!C44)</f>
        <v>86.009792764578819</v>
      </c>
      <c r="D44" s="9"/>
      <c r="E44" s="18" t="str">
        <f>IF(ISNUMBER('Sankey2050 (GWh original)'!E44),('Sankey2050 (GWh original)'!E44)/277.8,'Sankey2050 (GWh original)'!E44)</f>
        <v>Wärmepumpe Heizen</v>
      </c>
      <c r="F44" s="74">
        <f>IF(ISNUMBER('Sankey2050 (GWh original)'!F44),('Sankey2050 (GWh original)'!F44)/277.8,'Sankey2050 (GWh original)'!F44)</f>
        <v>22.998161987041037</v>
      </c>
      <c r="G44">
        <f>IF(ISNUMBER('Sankey2050 (GWh original)'!G44),('Sankey2050 (GWh original)'!G44)/277.8,'Sankey2050 (GWh original)'!G44)</f>
        <v>0</v>
      </c>
      <c r="H44" s="3" t="str">
        <f>IF(ISNUMBER('Sankey2050 (GWh original)'!H44),('Sankey2050 (GWh original)'!H44)/277.8,'Sankey2050 (GWh original)'!H44)</f>
        <v>Wärme HT</v>
      </c>
      <c r="I44" s="74">
        <f>IF(ISNUMBER('Sankey2050 (GWh original)'!I44),('Sankey2050 (GWh original)'!I44)/277.8,'Sankey2050 (GWh original)'!I44)</f>
        <v>24.998002159827216</v>
      </c>
      <c r="J44" s="74">
        <f>IF(ISNUMBER('Sankey2050 (GWh original)'!J44),('Sankey2050 (GWh original)'!J44)/277.8,'Sankey2050 (GWh original)'!J44)</f>
        <v>24.998002159827216</v>
      </c>
      <c r="K44" s="75">
        <f>IF(ISNUMBER('Sankey2050 (GWh original)'!K44),('Sankey2050 (GWh original)'!K44)/277.8,'Sankey2050 (GWh original)'!K44)</f>
        <v>3.5997120230381566E-3</v>
      </c>
      <c r="L44">
        <f>IF(ISNUMBER('Sankey2050 (GWh original)'!L44),('Sankey2050 (GWh original)'!L44)/277.8,'Sankey2050 (GWh original)'!L44)</f>
        <v>0</v>
      </c>
      <c r="M44">
        <f>IF(ISNUMBER('Sankey2050 (GWh original)'!M44),('Sankey2050 (GWh original)'!M44)/277.8,'Sankey2050 (GWh original)'!M44)</f>
        <v>0</v>
      </c>
      <c r="N44">
        <f>IF(ISNUMBER('Sankey2050 (GWh original)'!N44),('Sankey2050 (GWh original)'!N44)/277.8,'Sankey2050 (GWh original)'!N44)</f>
        <v>0</v>
      </c>
    </row>
    <row r="45" spans="1:14" x14ac:dyDescent="0.25">
      <c r="A45">
        <f>IF(ISNUMBER('Sankey2050 (GWh original)'!A45),('Sankey2050 (GWh original)'!A45)/277.8,'Sankey2050 (GWh original)'!A45)</f>
        <v>0</v>
      </c>
      <c r="B45" s="14" t="str">
        <f>IF(ISNUMBER('Sankey2050 (GWh original)'!B45),('Sankey2050 (GWh original)'!B45)/277.8,'Sankey2050 (GWh original)'!B45)</f>
        <v>Summe</v>
      </c>
      <c r="C45" s="44">
        <f>IF(ISNUMBER('Sankey2050 (GWh original)'!C45),('Sankey2050 (GWh original)'!C45)/277.8,'Sankey2050 (GWh original)'!C45)</f>
        <v>218.18631115787326</v>
      </c>
      <c r="D45" s="9"/>
      <c r="E45" s="88" t="str">
        <f>IF(ISNUMBER('Sankey2050 (GWh original)'!E45),('Sankey2050 (GWh original)'!E45)/277.8,'Sankey2050 (GWh original)'!E45)</f>
        <v xml:space="preserve">Wärme </v>
      </c>
      <c r="F45" s="74">
        <f>IF(ISNUMBER('Sankey2050 (GWh original)'!F45),('Sankey2050 (GWh original)'!F45)/277.8,'Sankey2050 (GWh original)'!F45)</f>
        <v>24.99800215982722</v>
      </c>
      <c r="G45">
        <f>IF(ISNUMBER('Sankey2050 (GWh original)'!G45),('Sankey2050 (GWh original)'!G45)/277.8,'Sankey2050 (GWh original)'!G45)</f>
        <v>0</v>
      </c>
      <c r="H45" s="3" t="str">
        <f>IF(ISNUMBER('Sankey2050 (GWh original)'!H45),('Sankey2050 (GWh original)'!H45)/277.8,'Sankey2050 (GWh original)'!H45)</f>
        <v>Elektrisch Industrie</v>
      </c>
      <c r="I45" s="74">
        <f>IF(ISNUMBER('Sankey2050 (GWh original)'!I45),('Sankey2050 (GWh original)'!I45)/277.8,'Sankey2050 (GWh original)'!I45)</f>
        <v>88.992887688984879</v>
      </c>
      <c r="J45" s="74">
        <f>IF(ISNUMBER('Sankey2050 (GWh original)'!J45),('Sankey2050 (GWh original)'!J45)/277.8,'Sankey2050 (GWh original)'!J45)</f>
        <v>71.194310151187906</v>
      </c>
      <c r="K45" s="75">
        <f>IF(ISNUMBER('Sankey2050 (GWh original)'!K45),('Sankey2050 (GWh original)'!K45)/277.8,'Sankey2050 (GWh original)'!K45)</f>
        <v>2.8797696184305254E-3</v>
      </c>
      <c r="L45">
        <f>IF(ISNUMBER('Sankey2050 (GWh original)'!L45),('Sankey2050 (GWh original)'!L45)/277.8,'Sankey2050 (GWh original)'!L45)</f>
        <v>0</v>
      </c>
      <c r="M45">
        <f>IF(ISNUMBER('Sankey2050 (GWh original)'!M45),('Sankey2050 (GWh original)'!M45)/277.8,'Sankey2050 (GWh original)'!M45)</f>
        <v>0</v>
      </c>
      <c r="N45">
        <f>IF(ISNUMBER('Sankey2050 (GWh original)'!N45),('Sankey2050 (GWh original)'!N45)/277.8,'Sankey2050 (GWh original)'!N45)</f>
        <v>0</v>
      </c>
    </row>
    <row r="46" spans="1:14" x14ac:dyDescent="0.25">
      <c r="A46">
        <f>IF(ISNUMBER('Sankey2050 (GWh original)'!A46),('Sankey2050 (GWh original)'!A46)/277.8,'Sankey2050 (GWh original)'!A46)</f>
        <v>0</v>
      </c>
      <c r="B46" s="3" t="str">
        <f>IF(ISNUMBER('Sankey2050 (GWh original)'!B46),('Sankey2050 (GWh original)'!B46)/277.8,'Sankey2050 (GWh original)'!B46)</f>
        <v>Photovoltaik</v>
      </c>
      <c r="C46" s="74">
        <f>IF(ISNUMBER('Sankey2050 (GWh original)'!C46),('Sankey2050 (GWh original)'!C46)/277.8,'Sankey2050 (GWh original)'!C46)</f>
        <v>99.508713930885534</v>
      </c>
      <c r="D46" s="9"/>
      <c r="E46" s="6" t="str">
        <f>IF(ISNUMBER('Sankey2050 (GWh original)'!E46),('Sankey2050 (GWh original)'!E46)/277.8,'Sankey2050 (GWh original)'!E46)</f>
        <v>Gesamt</v>
      </c>
      <c r="F46" s="47">
        <f>IF(ISNUMBER('Sankey2050 (GWh original)'!F46),('Sankey2050 (GWh original)'!F46)/277.8,'Sankey2050 (GWh original)'!F46)</f>
        <v>284.97722462203023</v>
      </c>
      <c r="G46" s="408">
        <f>IF(ISNUMBER('Sankey2050 (GWh original)'!G46),('Sankey2050 (GWh original)'!G46)/277.8,'Sankey2050 (GWh original)'!G46)</f>
        <v>1.143610601471414</v>
      </c>
      <c r="H46" s="6" t="str">
        <f>IF(ISNUMBER('Sankey2050 (GWh original)'!H46),('Sankey2050 (GWh original)'!H46)/277.8,'Sankey2050 (GWh original)'!H46)</f>
        <v>Summe</v>
      </c>
      <c r="I46" s="47">
        <f>IF(ISNUMBER('Sankey2050 (GWh original)'!I46),('Sankey2050 (GWh original)'!I46)/277.8,'Sankey2050 (GWh original)'!I46)</f>
        <v>195.98433693304537</v>
      </c>
      <c r="J46" s="47">
        <f>IF(ISNUMBER('Sankey2050 (GWh original)'!J46),('Sankey2050 (GWh original)'!J46)/277.8,'Sankey2050 (GWh original)'!J46)</f>
        <v>157.80027142875514</v>
      </c>
      <c r="K46" s="75">
        <f>IF(ISNUMBER('Sankey2050 (GWh original)'!K46),('Sankey2050 (GWh original)'!K46)/277.8,'Sankey2050 (GWh original)'!K46)</f>
        <v>2.898372100495122E-3</v>
      </c>
      <c r="L46">
        <f>IF(ISNUMBER('Sankey2050 (GWh original)'!L46),('Sankey2050 (GWh original)'!L46)/277.8,'Sankey2050 (GWh original)'!L46)</f>
        <v>0</v>
      </c>
      <c r="M46">
        <f>IF(ISNUMBER('Sankey2050 (GWh original)'!M46),('Sankey2050 (GWh original)'!M46)/277.8,'Sankey2050 (GWh original)'!M46)</f>
        <v>0</v>
      </c>
      <c r="N46">
        <f>IF(ISNUMBER('Sankey2050 (GWh original)'!N46),('Sankey2050 (GWh original)'!N46)/277.8,'Sankey2050 (GWh original)'!N46)</f>
        <v>0</v>
      </c>
    </row>
    <row r="47" spans="1:14" x14ac:dyDescent="0.25">
      <c r="A47">
        <f>IF(ISNUMBER('Sankey2050 (GWh original)'!A47),('Sankey2050 (GWh original)'!A47)/277.8,'Sankey2050 (GWh original)'!A47)</f>
        <v>0</v>
      </c>
      <c r="B47" s="3" t="str">
        <f>IF(ISNUMBER('Sankey2050 (GWh original)'!B47),('Sankey2050 (GWh original)'!B47)/277.8,'Sankey2050 (GWh original)'!B47)</f>
        <v>Solarthermie</v>
      </c>
      <c r="C47" s="74">
        <f>IF(ISNUMBER('Sankey2050 (GWh original)'!C47),('Sankey2050 (GWh original)'!C47)/277.8,'Sankey2050 (GWh original)'!C47)</f>
        <v>0</v>
      </c>
      <c r="D47" s="9"/>
      <c r="E47">
        <f>IF(ISNUMBER('Sankey2050 (GWh original)'!E47),('Sankey2050 (GWh original)'!E47)/277.8,'Sankey2050 (GWh original)'!E47)</f>
        <v>0</v>
      </c>
      <c r="F47" s="88">
        <f>IF(ISNUMBER('Sankey2050 (GWh original)'!F47),('Sankey2050 (GWh original)'!F47)/277.8,'Sankey2050 (GWh original)'!F47)</f>
        <v>0</v>
      </c>
      <c r="G47">
        <f>IF(ISNUMBER('Sankey2050 (GWh original)'!G47),('Sankey2050 (GWh original)'!G47)/277.8,'Sankey2050 (GWh original)'!G47)</f>
        <v>0</v>
      </c>
      <c r="H47">
        <f>IF(ISNUMBER('Sankey2050 (GWh original)'!H47),('Sankey2050 (GWh original)'!H47)/277.8,'Sankey2050 (GWh original)'!H47)</f>
        <v>0</v>
      </c>
      <c r="I47" s="408">
        <f>IF(ISNUMBER('Sankey2050 (GWh original)'!I47),('Sankey2050 (GWh original)'!I47)/277.8,'Sankey2050 (GWh original)'!I47)</f>
        <v>0.70548717398504446</v>
      </c>
      <c r="J47">
        <f>IF(ISNUMBER('Sankey2050 (GWh original)'!J47),('Sankey2050 (GWh original)'!J47)/277.8,'Sankey2050 (GWh original)'!J47)</f>
        <v>0</v>
      </c>
      <c r="K47">
        <f>IF(ISNUMBER('Sankey2050 (GWh original)'!K47),('Sankey2050 (GWh original)'!K47)/277.8,'Sankey2050 (GWh original)'!K47)</f>
        <v>0</v>
      </c>
      <c r="L47">
        <f>IF(ISNUMBER('Sankey2050 (GWh original)'!L47),('Sankey2050 (GWh original)'!L47)/277.8,'Sankey2050 (GWh original)'!L47)</f>
        <v>0</v>
      </c>
      <c r="M47">
        <f>IF(ISNUMBER('Sankey2050 (GWh original)'!M47),('Sankey2050 (GWh original)'!M47)/277.8,'Sankey2050 (GWh original)'!M47)</f>
        <v>0</v>
      </c>
      <c r="N47">
        <f>IF(ISNUMBER('Sankey2050 (GWh original)'!N47),('Sankey2050 (GWh original)'!N47)/277.8,'Sankey2050 (GWh original)'!N47)</f>
        <v>0</v>
      </c>
    </row>
    <row r="48" spans="1:14" x14ac:dyDescent="0.25">
      <c r="A48">
        <f>IF(ISNUMBER('Sankey2050 (GWh original)'!A48),('Sankey2050 (GWh original)'!A48)/277.8,'Sankey2050 (GWh original)'!A48)</f>
        <v>0</v>
      </c>
      <c r="B48" s="3" t="str">
        <f>IF(ISNUMBER('Sankey2050 (GWh original)'!B48),('Sankey2050 (GWh original)'!B48)/277.8,'Sankey2050 (GWh original)'!B48)</f>
        <v>Oberflächennahe Umweltwärme</v>
      </c>
      <c r="C48" s="74">
        <f>IF(ISNUMBER('Sankey2050 (GWh original)'!C48),('Sankey2050 (GWh original)'!C48)/277.8,'Sankey2050 (GWh original)'!C48)</f>
        <v>0</v>
      </c>
      <c r="D48" s="9"/>
      <c r="E48" s="40" t="str">
        <f>IF(ISNUMBER('Sankey2050 (GWh original)'!E48),('Sankey2050 (GWh original)'!E48)/277.8,'Sankey2050 (GWh original)'!E48)</f>
        <v>Verluste lokal</v>
      </c>
      <c r="F48" s="74">
        <f>IF(ISNUMBER('Sankey2050 (GWh original)'!F48),('Sankey2050 (GWh original)'!F48)/277.8,'Sankey2050 (GWh original)'!F48)</f>
        <v>13.696801115399078</v>
      </c>
      <c r="G48">
        <f>IF(ISNUMBER('Sankey2050 (GWh original)'!G48),('Sankey2050 (GWh original)'!G48)/277.8,'Sankey2050 (GWh original)'!G48)</f>
        <v>0</v>
      </c>
      <c r="H48" t="str">
        <f>IF(ISNUMBER('Sankey2050 (GWh original)'!H48),('Sankey2050 (GWh original)'!H48)/277.8,'Sankey2050 (GWh original)'!H48)</f>
        <v>Differenz</v>
      </c>
      <c r="I48" s="76">
        <f>IF(ISNUMBER('Sankey2050 (GWh original)'!I48),('Sankey2050 (GWh original)'!I48)/277.8,'Sankey2050 (GWh original)'!I48)</f>
        <v>38.184065504290238</v>
      </c>
      <c r="J48" t="str">
        <f>IF(ISNUMBER('Sankey2050 (GWh original)'!J48),('Sankey2050 (GWh original)'!J48)/277.8,'Sankey2050 (GWh original)'!J48)</f>
        <v>GWh/a</v>
      </c>
      <c r="K48" s="41">
        <f>IF(ISNUMBER('Sankey2050 (GWh original)'!K48),('Sankey2050 (GWh original)'!K48)/277.8,'Sankey2050 (GWh original)'!K48)</f>
        <v>0</v>
      </c>
      <c r="L48">
        <f>IF(ISNUMBER('Sankey2050 (GWh original)'!L48),('Sankey2050 (GWh original)'!L48)/277.8,'Sankey2050 (GWh original)'!L48)</f>
        <v>0</v>
      </c>
      <c r="M48">
        <f>IF(ISNUMBER('Sankey2050 (GWh original)'!M48),('Sankey2050 (GWh original)'!M48)/277.8,'Sankey2050 (GWh original)'!M48)</f>
        <v>0</v>
      </c>
      <c r="N48">
        <f>IF(ISNUMBER('Sankey2050 (GWh original)'!N48),('Sankey2050 (GWh original)'!N48)/277.8,'Sankey2050 (GWh original)'!N48)</f>
        <v>0</v>
      </c>
    </row>
    <row r="49" spans="1:14" x14ac:dyDescent="0.25">
      <c r="A49">
        <f>IF(ISNUMBER('Sankey2050 (GWh original)'!A49),('Sankey2050 (GWh original)'!A49)/277.8,'Sankey2050 (GWh original)'!A49)</f>
        <v>0</v>
      </c>
      <c r="B49" s="14" t="str">
        <f>IF(ISNUMBER('Sankey2050 (GWh original)'!B49),('Sankey2050 (GWh original)'!B49)/277.8,'Sankey2050 (GWh original)'!B49)</f>
        <v>Summe</v>
      </c>
      <c r="C49" s="44">
        <f>IF(ISNUMBER('Sankey2050 (GWh original)'!C49),('Sankey2050 (GWh original)'!C49)/277.8,'Sankey2050 (GWh original)'!C49)</f>
        <v>99.508713930885534</v>
      </c>
      <c r="D49" s="9"/>
      <c r="E49" s="39" t="str">
        <f>IF(ISNUMBER('Sankey2050 (GWh original)'!E49),('Sankey2050 (GWh original)'!E49)/277.8,'Sankey2050 (GWh original)'!E49)</f>
        <v>Verluste zentral</v>
      </c>
      <c r="F49" s="74">
        <f>IF(ISNUMBER('Sankey2050 (GWh original)'!F49),('Sankey2050 (GWh original)'!F49)/277.8,'Sankey2050 (GWh original)'!F49)</f>
        <v>19.020999351329486</v>
      </c>
      <c r="G49">
        <f>IF(ISNUMBER('Sankey2050 (GWh original)'!G49),('Sankey2050 (GWh original)'!G49)/277.8,'Sankey2050 (GWh original)'!G49)</f>
        <v>0</v>
      </c>
      <c r="H49" t="str">
        <f>IF(ISNUMBER('Sankey2050 (GWh original)'!H49),('Sankey2050 (GWh original)'!H49)/277.8,'Sankey2050 (GWh original)'!H49)</f>
        <v>Anzahl Beowhner Österreich 2050</v>
      </c>
      <c r="I49" s="76">
        <f>IF(ISNUMBER('Sankey2050 (GWh original)'!I49),('Sankey2050 (GWh original)'!I49)/277.8,'Sankey2050 (GWh original)'!I49)</f>
        <v>34053.275737940967</v>
      </c>
      <c r="J49">
        <f>IF(ISNUMBER('Sankey2050 (GWh original)'!J49),('Sankey2050 (GWh original)'!J49)/277.8,'Sankey2050 (GWh original)'!J49)</f>
        <v>0</v>
      </c>
      <c r="K49">
        <f>IF(ISNUMBER('Sankey2050 (GWh original)'!K49),('Sankey2050 (GWh original)'!K49)/277.8,'Sankey2050 (GWh original)'!K49)</f>
        <v>0</v>
      </c>
      <c r="L49">
        <f>IF(ISNUMBER('Sankey2050 (GWh original)'!L49),('Sankey2050 (GWh original)'!L49)/277.8,'Sankey2050 (GWh original)'!L49)</f>
        <v>0</v>
      </c>
      <c r="M49">
        <f>IF(ISNUMBER('Sankey2050 (GWh original)'!M49),('Sankey2050 (GWh original)'!M49)/277.8,'Sankey2050 (GWh original)'!M49)</f>
        <v>0</v>
      </c>
      <c r="N49">
        <f>IF(ISNUMBER('Sankey2050 (GWh original)'!N49),('Sankey2050 (GWh original)'!N49)/277.8,'Sankey2050 (GWh original)'!N49)</f>
        <v>0</v>
      </c>
    </row>
    <row r="50" spans="1:14" x14ac:dyDescent="0.25">
      <c r="A50">
        <f>IF(ISNUMBER('Sankey2050 (GWh original)'!A50),('Sankey2050 (GWh original)'!A50)/277.8,'Sankey2050 (GWh original)'!A50)</f>
        <v>0</v>
      </c>
      <c r="B50" s="16" t="str">
        <f>IF(ISNUMBER('Sankey2050 (GWh original)'!B50),('Sankey2050 (GWh original)'!B50)/277.8,'Sankey2050 (GWh original)'!B50)</f>
        <v>Gesamtsumme</v>
      </c>
      <c r="C50" s="45">
        <f>IF(ISNUMBER('Sankey2050 (GWh original)'!C50),('Sankey2050 (GWh original)'!C50)/277.8,'Sankey2050 (GWh original)'!C50)</f>
        <v>317.69502508875883</v>
      </c>
      <c r="E50" s="3" t="str">
        <f>IF(ISNUMBER('Sankey2050 (GWh original)'!E50),('Sankey2050 (GWh original)'!E50)/277.8,'Sankey2050 (GWh original)'!E50)</f>
        <v>Gesamtverluste</v>
      </c>
      <c r="F50" s="74">
        <f>IF(ISNUMBER('Sankey2050 (GWh original)'!F50),('Sankey2050 (GWh original)'!F50)/277.8,'Sankey2050 (GWh original)'!F50)</f>
        <v>32.717800466728562</v>
      </c>
      <c r="G50">
        <f>IF(ISNUMBER('Sankey2050 (GWh original)'!G50),('Sankey2050 (GWh original)'!G50)/277.8,'Sankey2050 (GWh original)'!G50)</f>
        <v>0</v>
      </c>
      <c r="H50" t="str">
        <f>IF(ISNUMBER('Sankey2050 (GWh original)'!H50),('Sankey2050 (GWh original)'!H50)/277.8,'Sankey2050 (GWh original)'!H50)</f>
        <v>Zuschuss pro Person</v>
      </c>
      <c r="I50" s="76">
        <f>IF(ISNUMBER('Sankey2050 (GWh original)'!I50),('Sankey2050 (GWh original)'!I50)/277.8,'Sankey2050 (GWh original)'!I50)</f>
        <v>4.0363705607072138</v>
      </c>
      <c r="J50" t="str">
        <f>IF(ISNUMBER('Sankey2050 (GWh original)'!J50),('Sankey2050 (GWh original)'!J50)/277.8,'Sankey2050 (GWh original)'!J50)</f>
        <v>kWh/a Bewohner</v>
      </c>
      <c r="K50">
        <f>IF(ISNUMBER('Sankey2050 (GWh original)'!K50),('Sankey2050 (GWh original)'!K50)/277.8,'Sankey2050 (GWh original)'!K50)</f>
        <v>0</v>
      </c>
      <c r="L50">
        <f>IF(ISNUMBER('Sankey2050 (GWh original)'!L50),('Sankey2050 (GWh original)'!L50)/277.8,'Sankey2050 (GWh original)'!L50)</f>
        <v>0</v>
      </c>
      <c r="M50">
        <f>IF(ISNUMBER('Sankey2050 (GWh original)'!M50),('Sankey2050 (GWh original)'!M50)/277.8,'Sankey2050 (GWh original)'!M50)</f>
        <v>0</v>
      </c>
      <c r="N50">
        <f>IF(ISNUMBER('Sankey2050 (GWh original)'!N50),('Sankey2050 (GWh original)'!N50)/277.8,'Sankey2050 (GWh original)'!N50)</f>
        <v>0</v>
      </c>
    </row>
    <row r="51" spans="1:14" x14ac:dyDescent="0.25">
      <c r="A51">
        <f>IF(ISNUMBER('Sankey2050 (GWh original)'!A51),('Sankey2050 (GWh original)'!A51)/277.8,'Sankey2050 (GWh original)'!A51)</f>
        <v>0</v>
      </c>
      <c r="B51">
        <f>IF(ISNUMBER('Sankey2050 (GWh original)'!B51),('Sankey2050 (GWh original)'!B51)/277.8,'Sankey2050 (GWh original)'!B51)</f>
        <v>0</v>
      </c>
      <c r="C51">
        <f>IF(ISNUMBER('Sankey2050 (GWh original)'!C51),('Sankey2050 (GWh original)'!C51)/277.8,'Sankey2050 (GWh original)'!C51)</f>
        <v>0</v>
      </c>
      <c r="D51" s="408"/>
      <c r="E51">
        <f>IF(ISNUMBER('Sankey2050 (GWh original)'!E51),('Sankey2050 (GWh original)'!E51)/277.8,'Sankey2050 (GWh original)'!E51)</f>
        <v>0</v>
      </c>
      <c r="F51" s="76">
        <f>IF(ISNUMBER('Sankey2050 (GWh original)'!F51),('Sankey2050 (GWh original)'!F51)/277.8,'Sankey2050 (GWh original)'!F51)</f>
        <v>0</v>
      </c>
      <c r="G51">
        <f>IF(ISNUMBER('Sankey2050 (GWh original)'!G51),('Sankey2050 (GWh original)'!G51)/277.8,'Sankey2050 (GWh original)'!G51)</f>
        <v>0</v>
      </c>
      <c r="H51">
        <f>IF(ISNUMBER('Sankey2050 (GWh original)'!H51),('Sankey2050 (GWh original)'!H51)/277.8,'Sankey2050 (GWh original)'!H51)</f>
        <v>0</v>
      </c>
      <c r="I51">
        <f>IF(ISNUMBER('Sankey2050 (GWh original)'!I51),('Sankey2050 (GWh original)'!I51)/277.8,'Sankey2050 (GWh original)'!I51)</f>
        <v>0</v>
      </c>
      <c r="J51">
        <f>IF(ISNUMBER('Sankey2050 (GWh original)'!J51),('Sankey2050 (GWh original)'!J51)/277.8,'Sankey2050 (GWh original)'!J51)</f>
        <v>0</v>
      </c>
      <c r="K51">
        <f>IF(ISNUMBER('Sankey2050 (GWh original)'!K51),('Sankey2050 (GWh original)'!K51)/277.8,'Sankey2050 (GWh original)'!K51)</f>
        <v>0</v>
      </c>
      <c r="L51">
        <f>IF(ISNUMBER('Sankey2050 (GWh original)'!L51),('Sankey2050 (GWh original)'!L51)/277.8,'Sankey2050 (GWh original)'!L51)</f>
        <v>0</v>
      </c>
      <c r="M51">
        <f>IF(ISNUMBER('Sankey2050 (GWh original)'!M51),('Sankey2050 (GWh original)'!M51)/277.8,'Sankey2050 (GWh original)'!M51)</f>
        <v>0</v>
      </c>
      <c r="N51">
        <f>IF(ISNUMBER('Sankey2050 (GWh original)'!N51),('Sankey2050 (GWh original)'!N51)/277.8,'Sankey2050 (GWh original)'!N51)</f>
        <v>0</v>
      </c>
    </row>
    <row r="52" spans="1:14" x14ac:dyDescent="0.25">
      <c r="A52">
        <f>IF(ISNUMBER('Sankey2050 (GWh original)'!A52),('Sankey2050 (GWh original)'!A52)/277.8,'Sankey2050 (GWh original)'!A52)</f>
        <v>0</v>
      </c>
      <c r="B52" s="33" t="str">
        <f>IF(ISNUMBER('Sankey2050 (GWh original)'!B52),('Sankey2050 (GWh original)'!B52)/277.8,'Sankey2050 (GWh original)'!B52)</f>
        <v>Wärme WP [GWh]</v>
      </c>
      <c r="C52" s="74">
        <f>IF(ISNUMBER('Sankey2050 (GWh original)'!C52),('Sankey2050 (GWh original)'!C52)/277.8,'Sankey2050 (GWh original)'!C52)</f>
        <v>67.994565874730014</v>
      </c>
      <c r="D52" s="1"/>
      <c r="E52" s="19" t="str">
        <f>IF(ISNUMBER('Sankey2050 (GWh original)'!E52),('Sankey2050 (GWh original)'!E52)/277.8,'Sankey2050 (GWh original)'!E52)</f>
        <v>Gebäude</v>
      </c>
      <c r="F52" s="74">
        <f>IF(ISNUMBER('Sankey2050 (GWh original)'!F52),('Sankey2050 (GWh original)'!F52)/277.8,'Sankey2050 (GWh original)'!F52)</f>
        <v>67.994565874730014</v>
      </c>
      <c r="G52">
        <f>IF(ISNUMBER('Sankey2050 (GWh original)'!G52),('Sankey2050 (GWh original)'!G52)/277.8,'Sankey2050 (GWh original)'!G52)</f>
        <v>0</v>
      </c>
      <c r="H52" s="42" t="str">
        <f>IF(ISNUMBER('Sankey2050 (GWh original)'!H52),('Sankey2050 (GWh original)'!H52)/277.8,'Sankey2050 (GWh original)'!H52)</f>
        <v>Elektrizität lokal</v>
      </c>
      <c r="I52" s="88" t="str">
        <f>IF(ISNUMBER('Sankey2050 (GWh original)'!I52),('Sankey2050 (GWh original)'!I52)/277.8,'Sankey2050 (GWh original)'!I52)</f>
        <v>Gesamt</v>
      </c>
      <c r="J52">
        <f>IF(ISNUMBER('Sankey2050 (GWh original)'!J52),('Sankey2050 (GWh original)'!J52)/277.8,'Sankey2050 (GWh original)'!J52)</f>
        <v>0</v>
      </c>
      <c r="K52">
        <f>IF(ISNUMBER('Sankey2050 (GWh original)'!K52),('Sankey2050 (GWh original)'!K52)/277.8,'Sankey2050 (GWh original)'!K52)</f>
        <v>0</v>
      </c>
      <c r="L52">
        <f>IF(ISNUMBER('Sankey2050 (GWh original)'!L52),('Sankey2050 (GWh original)'!L52)/277.8,'Sankey2050 (GWh original)'!L52)</f>
        <v>0</v>
      </c>
      <c r="M52">
        <f>IF(ISNUMBER('Sankey2050 (GWh original)'!M52),('Sankey2050 (GWh original)'!M52)/277.8,'Sankey2050 (GWh original)'!M52)</f>
        <v>0</v>
      </c>
      <c r="N52">
        <f>IF(ISNUMBER('Sankey2050 (GWh original)'!N52),('Sankey2050 (GWh original)'!N52)/277.8,'Sankey2050 (GWh original)'!N52)</f>
        <v>0</v>
      </c>
    </row>
    <row r="53" spans="1:14" x14ac:dyDescent="0.25">
      <c r="A53">
        <f>IF(ISNUMBER('Sankey2050 (GWh original)'!A53),('Sankey2050 (GWh original)'!A53)/277.8,'Sankey2050 (GWh original)'!A53)</f>
        <v>0</v>
      </c>
      <c r="B53" s="3" t="str">
        <f>IF(ISNUMBER('Sankey2050 (GWh original)'!B53),('Sankey2050 (GWh original)'!B53)/277.8,'Sankey2050 (GWh original)'!B53)</f>
        <v>Biomasse</v>
      </c>
      <c r="C53" s="74">
        <f>IF(ISNUMBER('Sankey2050 (GWh original)'!C53),('Sankey2050 (GWh original)'!C53)/277.8,'Sankey2050 (GWh original)'!C53)</f>
        <v>0</v>
      </c>
      <c r="E53" s="3" t="str">
        <f>IF(ISNUMBER('Sankey2050 (GWh original)'!E53),('Sankey2050 (GWh original)'!E53)/277.8,'Sankey2050 (GWh original)'!E53)</f>
        <v>Strom</v>
      </c>
      <c r="F53" s="74">
        <f>IF(ISNUMBER('Sankey2050 (GWh original)'!F53),('Sankey2050 (GWh original)'!F53)/277.8,'Sankey2050 (GWh original)'!F53)</f>
        <v>22.998161987041037</v>
      </c>
      <c r="G53">
        <f>IF(ISNUMBER('Sankey2050 (GWh original)'!G53),('Sankey2050 (GWh original)'!G53)/277.8,'Sankey2050 (GWh original)'!G53)</f>
        <v>0</v>
      </c>
      <c r="H53" s="3" t="str">
        <f>IF(ISNUMBER('Sankey2050 (GWh original)'!H53),('Sankey2050 (GWh original)'!H53)/277.8,'Sankey2050 (GWh original)'!H53)</f>
        <v>Gebäude</v>
      </c>
      <c r="I53" s="74">
        <f>IF(ISNUMBER('Sankey2050 (GWh original)'!I53),('Sankey2050 (GWh original)'!I53)/277.8,'Sankey2050 (GWh original)'!I53)</f>
        <v>65.99472570194385</v>
      </c>
      <c r="J53">
        <f>IF(ISNUMBER('Sankey2050 (GWh original)'!J53),('Sankey2050 (GWh original)'!J53)/277.8,'Sankey2050 (GWh original)'!J53)</f>
        <v>0</v>
      </c>
      <c r="K53">
        <f>IF(ISNUMBER('Sankey2050 (GWh original)'!K53),('Sankey2050 (GWh original)'!K53)/277.8,'Sankey2050 (GWh original)'!K53)</f>
        <v>0</v>
      </c>
      <c r="L53">
        <f>IF(ISNUMBER('Sankey2050 (GWh original)'!L53),('Sankey2050 (GWh original)'!L53)/277.8,'Sankey2050 (GWh original)'!L53)</f>
        <v>0</v>
      </c>
      <c r="M53">
        <f>IF(ISNUMBER('Sankey2050 (GWh original)'!M53),('Sankey2050 (GWh original)'!M53)/277.8,'Sankey2050 (GWh original)'!M53)</f>
        <v>0</v>
      </c>
      <c r="N53">
        <f>IF(ISNUMBER('Sankey2050 (GWh original)'!N53),('Sankey2050 (GWh original)'!N53)/277.8,'Sankey2050 (GWh original)'!N53)</f>
        <v>0</v>
      </c>
    </row>
    <row r="54" spans="1:14" x14ac:dyDescent="0.25">
      <c r="A54">
        <f>IF(ISNUMBER('Sankey2050 (GWh original)'!A54),('Sankey2050 (GWh original)'!A54)/277.8,'Sankey2050 (GWh original)'!A54)</f>
        <v>0</v>
      </c>
      <c r="B54" s="3" t="str">
        <f>IF(ISNUMBER('Sankey2050 (GWh original)'!B54),('Sankey2050 (GWh original)'!B54)/277.8,'Sankey2050 (GWh original)'!B54)</f>
        <v>Wasserkraft</v>
      </c>
      <c r="C54" s="74">
        <f>IF(ISNUMBER('Sankey2050 (GWh original)'!C54),('Sankey2050 (GWh original)'!C54)/277.8,'Sankey2050 (GWh original)'!C54)</f>
        <v>0</v>
      </c>
      <c r="E54" s="2" t="str">
        <f>IF(ISNUMBER('Sankey2050 (GWh original)'!E54),('Sankey2050 (GWh original)'!E54)/277.8,'Sankey2050 (GWh original)'!E54)</f>
        <v>Summe</v>
      </c>
      <c r="F54" s="48">
        <f>IF(ISNUMBER('Sankey2050 (GWh original)'!F54),('Sankey2050 (GWh original)'!F54)/277.8,'Sankey2050 (GWh original)'!F54)</f>
        <v>90.992727861771058</v>
      </c>
      <c r="G54">
        <f>IF(ISNUMBER('Sankey2050 (GWh original)'!G54),('Sankey2050 (GWh original)'!G54)/277.8,'Sankey2050 (GWh original)'!G54)</f>
        <v>0</v>
      </c>
      <c r="H54" s="43" t="str">
        <f>IF(ISNUMBER('Sankey2050 (GWh original)'!H54),('Sankey2050 (GWh original)'!H54)/277.8,'Sankey2050 (GWh original)'!H54)</f>
        <v>Wärmepumpe Heizen</v>
      </c>
      <c r="I54" s="74">
        <f>IF(ISNUMBER('Sankey2050 (GWh original)'!I54),('Sankey2050 (GWh original)'!I54)/277.8,'Sankey2050 (GWh original)'!I54)</f>
        <v>22.998161987041037</v>
      </c>
      <c r="J54">
        <f>IF(ISNUMBER('Sankey2050 (GWh original)'!J54),('Sankey2050 (GWh original)'!J54)/277.8,'Sankey2050 (GWh original)'!J54)</f>
        <v>0</v>
      </c>
      <c r="K54">
        <f>IF(ISNUMBER('Sankey2050 (GWh original)'!K54),('Sankey2050 (GWh original)'!K54)/277.8,'Sankey2050 (GWh original)'!K54)</f>
        <v>0</v>
      </c>
      <c r="L54">
        <f>IF(ISNUMBER('Sankey2050 (GWh original)'!L54),('Sankey2050 (GWh original)'!L54)/277.8,'Sankey2050 (GWh original)'!L54)</f>
        <v>0</v>
      </c>
      <c r="M54">
        <f>IF(ISNUMBER('Sankey2050 (GWh original)'!M54),('Sankey2050 (GWh original)'!M54)/277.8,'Sankey2050 (GWh original)'!M54)</f>
        <v>0</v>
      </c>
      <c r="N54">
        <f>IF(ISNUMBER('Sankey2050 (GWh original)'!N54),('Sankey2050 (GWh original)'!N54)/277.8,'Sankey2050 (GWh original)'!N54)</f>
        <v>0</v>
      </c>
    </row>
    <row r="55" spans="1:14" x14ac:dyDescent="0.25">
      <c r="A55">
        <f>IF(ISNUMBER('Sankey2050 (GWh original)'!A55),('Sankey2050 (GWh original)'!A55)/277.8,'Sankey2050 (GWh original)'!A55)</f>
        <v>0</v>
      </c>
      <c r="B55" s="3" t="str">
        <f>IF(ISNUMBER('Sankey2050 (GWh original)'!B55),('Sankey2050 (GWh original)'!B55)/277.8,'Sankey2050 (GWh original)'!B55)</f>
        <v>Windenergie</v>
      </c>
      <c r="C55" s="74">
        <f>IF(ISNUMBER('Sankey2050 (GWh original)'!C55),('Sankey2050 (GWh original)'!C55)/277.8,'Sankey2050 (GWh original)'!C55)</f>
        <v>0</v>
      </c>
      <c r="E55" s="3" t="str">
        <f>IF(ISNUMBER('Sankey2050 (GWh original)'!E55),('Sankey2050 (GWh original)'!E55)/277.8,'Sankey2050 (GWh original)'!E55)</f>
        <v>Vergleich</v>
      </c>
      <c r="F55" s="74">
        <f>IF(ISNUMBER('Sankey2050 (GWh original)'!F55),('Sankey2050 (GWh original)'!F55)/277.8,'Sankey2050 (GWh original)'!F55)</f>
        <v>90.992727861771058</v>
      </c>
      <c r="G55">
        <f>IF(ISNUMBER('Sankey2050 (GWh original)'!G55),('Sankey2050 (GWh original)'!G55)/277.8,'Sankey2050 (GWh original)'!G55)</f>
        <v>0</v>
      </c>
      <c r="H55" s="6" t="str">
        <f>IF(ISNUMBER('Sankey2050 (GWh original)'!H55),('Sankey2050 (GWh original)'!H55)/277.8,'Sankey2050 (GWh original)'!H55)</f>
        <v>Summe</v>
      </c>
      <c r="I55" s="47">
        <f>IF(ISNUMBER('Sankey2050 (GWh original)'!I55),('Sankey2050 (GWh original)'!I55)/277.8,'Sankey2050 (GWh original)'!I55)</f>
        <v>88.992887688984879</v>
      </c>
      <c r="J55">
        <f>IF(ISNUMBER('Sankey2050 (GWh original)'!J55),('Sankey2050 (GWh original)'!J55)/277.8,'Sankey2050 (GWh original)'!J55)</f>
        <v>0</v>
      </c>
      <c r="K55">
        <f>IF(ISNUMBER('Sankey2050 (GWh original)'!K55),('Sankey2050 (GWh original)'!K55)/277.8,'Sankey2050 (GWh original)'!K55)</f>
        <v>0</v>
      </c>
      <c r="L55">
        <f>IF(ISNUMBER('Sankey2050 (GWh original)'!L55),('Sankey2050 (GWh original)'!L55)/277.8,'Sankey2050 (GWh original)'!L55)</f>
        <v>0</v>
      </c>
      <c r="M55">
        <f>IF(ISNUMBER('Sankey2050 (GWh original)'!M55),('Sankey2050 (GWh original)'!M55)/277.8,'Sankey2050 (GWh original)'!M55)</f>
        <v>0</v>
      </c>
      <c r="N55">
        <f>IF(ISNUMBER('Sankey2050 (GWh original)'!N55),('Sankey2050 (GWh original)'!N55)/277.8,'Sankey2050 (GWh original)'!N55)</f>
        <v>0</v>
      </c>
    </row>
    <row r="56" spans="1:14" x14ac:dyDescent="0.25">
      <c r="A56">
        <f>IF(ISNUMBER('Sankey2050 (GWh original)'!A56),('Sankey2050 (GWh original)'!A56)/277.8,'Sankey2050 (GWh original)'!A56)</f>
        <v>0</v>
      </c>
      <c r="B56" s="14" t="str">
        <f>IF(ISNUMBER('Sankey2050 (GWh original)'!B56),('Sankey2050 (GWh original)'!B56)/277.8,'Sankey2050 (GWh original)'!B56)</f>
        <v>Summe</v>
      </c>
      <c r="C56" s="44">
        <f>IF(ISNUMBER('Sankey2050 (GWh original)'!C56),('Sankey2050 (GWh original)'!C56)/277.8,'Sankey2050 (GWh original)'!C56)</f>
        <v>0</v>
      </c>
      <c r="E56">
        <f>IF(ISNUMBER('Sankey2050 (GWh original)'!E56),('Sankey2050 (GWh original)'!E56)/277.8,'Sankey2050 (GWh original)'!E56)</f>
        <v>0</v>
      </c>
      <c r="F56">
        <f>IF(ISNUMBER('Sankey2050 (GWh original)'!F56),('Sankey2050 (GWh original)'!F56)/277.8,'Sankey2050 (GWh original)'!F56)</f>
        <v>0</v>
      </c>
      <c r="G56">
        <f>IF(ISNUMBER('Sankey2050 (GWh original)'!G56),('Sankey2050 (GWh original)'!G56)/277.8,'Sankey2050 (GWh original)'!G56)</f>
        <v>0</v>
      </c>
      <c r="H56" s="6" t="str">
        <f>IF(ISNUMBER('Sankey2050 (GWh original)'!H56),('Sankey2050 (GWh original)'!H56)/277.8,'Sankey2050 (GWh original)'!H56)</f>
        <v>Gesamt mit Verlusten</v>
      </c>
      <c r="I56" s="56">
        <f>IF(ISNUMBER('Sankey2050 (GWh original)'!I56),('Sankey2050 (GWh original)'!I56)/277.8,'Sankey2050 (GWh original)'!I56)</f>
        <v>102.68968880438396</v>
      </c>
      <c r="J56">
        <f>IF(ISNUMBER('Sankey2050 (GWh original)'!J56),('Sankey2050 (GWh original)'!J56)/277.8,'Sankey2050 (GWh original)'!J56)</f>
        <v>0</v>
      </c>
      <c r="K56">
        <f>IF(ISNUMBER('Sankey2050 (GWh original)'!K56),('Sankey2050 (GWh original)'!K56)/277.8,'Sankey2050 (GWh original)'!K56)</f>
        <v>0</v>
      </c>
      <c r="L56">
        <f>IF(ISNUMBER('Sankey2050 (GWh original)'!L56),('Sankey2050 (GWh original)'!L56)/277.8,'Sankey2050 (GWh original)'!L56)</f>
        <v>0</v>
      </c>
      <c r="M56">
        <f>IF(ISNUMBER('Sankey2050 (GWh original)'!M56),('Sankey2050 (GWh original)'!M56)/277.8,'Sankey2050 (GWh original)'!M56)</f>
        <v>0</v>
      </c>
      <c r="N56">
        <f>IF(ISNUMBER('Sankey2050 (GWh original)'!N56),('Sankey2050 (GWh original)'!N56)/277.8,'Sankey2050 (GWh original)'!N56)</f>
        <v>0</v>
      </c>
    </row>
    <row r="57" spans="1:14" x14ac:dyDescent="0.25">
      <c r="A57">
        <f>IF(ISNUMBER('Sankey2050 (GWh original)'!A57),('Sankey2050 (GWh original)'!A57)/277.8,'Sankey2050 (GWh original)'!A57)</f>
        <v>0</v>
      </c>
      <c r="B57" s="3" t="str">
        <f>IF(ISNUMBER('Sankey2050 (GWh original)'!B57),('Sankey2050 (GWh original)'!B57)/277.8,'Sankey2050 (GWh original)'!B57)</f>
        <v>Photovoltaik</v>
      </c>
      <c r="C57" s="74">
        <f>IF(ISNUMBER('Sankey2050 (GWh original)'!C57),('Sankey2050 (GWh original)'!C57)/277.8,'Sankey2050 (GWh original)'!C57)</f>
        <v>0</v>
      </c>
      <c r="E57">
        <f>IF(ISNUMBER('Sankey2050 (GWh original)'!E57),('Sankey2050 (GWh original)'!E57)/277.8,'Sankey2050 (GWh original)'!E57)</f>
        <v>0</v>
      </c>
      <c r="F57">
        <f>IF(ISNUMBER('Sankey2050 (GWh original)'!F57),('Sankey2050 (GWh original)'!F57)/277.8,'Sankey2050 (GWh original)'!F57)</f>
        <v>0</v>
      </c>
      <c r="G57">
        <f>IF(ISNUMBER('Sankey2050 (GWh original)'!G57),('Sankey2050 (GWh original)'!G57)/277.8,'Sankey2050 (GWh original)'!G57)</f>
        <v>0</v>
      </c>
      <c r="H57" s="54">
        <f>IF(ISNUMBER('Sankey2050 (GWh original)'!H57),('Sankey2050 (GWh original)'!H57)/277.8,'Sankey2050 (GWh original)'!H57)</f>
        <v>0</v>
      </c>
      <c r="I57" s="408">
        <f>IF(ISNUMBER('Sankey2050 (GWh original)'!I57),('Sankey2050 (GWh original)'!I57)/277.8,'Sankey2050 (GWh original)'!I57)</f>
        <v>0.36965330743118774</v>
      </c>
      <c r="J57">
        <f>IF(ISNUMBER('Sankey2050 (GWh original)'!J57),('Sankey2050 (GWh original)'!J57)/277.8,'Sankey2050 (GWh original)'!J57)</f>
        <v>0</v>
      </c>
      <c r="K57">
        <f>IF(ISNUMBER('Sankey2050 (GWh original)'!K57),('Sankey2050 (GWh original)'!K57)/277.8,'Sankey2050 (GWh original)'!K57)</f>
        <v>0</v>
      </c>
      <c r="L57">
        <f>IF(ISNUMBER('Sankey2050 (GWh original)'!L57),('Sankey2050 (GWh original)'!L57)/277.8,'Sankey2050 (GWh original)'!L57)</f>
        <v>0</v>
      </c>
      <c r="M57">
        <f>IF(ISNUMBER('Sankey2050 (GWh original)'!M57),('Sankey2050 (GWh original)'!M57)/277.8,'Sankey2050 (GWh original)'!M57)</f>
        <v>0</v>
      </c>
      <c r="N57">
        <f>IF(ISNUMBER('Sankey2050 (GWh original)'!N57),('Sankey2050 (GWh original)'!N57)/277.8,'Sankey2050 (GWh original)'!N57)</f>
        <v>0</v>
      </c>
    </row>
    <row r="58" spans="1:14" x14ac:dyDescent="0.25">
      <c r="A58">
        <f>IF(ISNUMBER('Sankey2050 (GWh original)'!A58),('Sankey2050 (GWh original)'!A58)/277.8,'Sankey2050 (GWh original)'!A58)</f>
        <v>0</v>
      </c>
      <c r="B58" s="3" t="str">
        <f>IF(ISNUMBER('Sankey2050 (GWh original)'!B58),('Sankey2050 (GWh original)'!B58)/277.8,'Sankey2050 (GWh original)'!B58)</f>
        <v>Solarthermie</v>
      </c>
      <c r="C58" s="74">
        <f>IF(ISNUMBER('Sankey2050 (GWh original)'!C58),('Sankey2050 (GWh original)'!C58)/277.8,'Sankey2050 (GWh original)'!C58)</f>
        <v>0</v>
      </c>
      <c r="D58" s="1"/>
      <c r="E58" s="1">
        <f>IF(ISNUMBER('Sankey2050 (GWh original)'!E58),('Sankey2050 (GWh original)'!E58)/277.8,'Sankey2050 (GWh original)'!E58)</f>
        <v>0</v>
      </c>
      <c r="F58" s="1">
        <f>IF(ISNUMBER('Sankey2050 (GWh original)'!F58),('Sankey2050 (GWh original)'!F58)/277.8,'Sankey2050 (GWh original)'!F58)</f>
        <v>0</v>
      </c>
      <c r="G58">
        <f>IF(ISNUMBER('Sankey2050 (GWh original)'!G58),('Sankey2050 (GWh original)'!G58)/277.8,'Sankey2050 (GWh original)'!G58)</f>
        <v>0</v>
      </c>
      <c r="H58">
        <f>IF(ISNUMBER('Sankey2050 (GWh original)'!H58),('Sankey2050 (GWh original)'!H58)/277.8,'Sankey2050 (GWh original)'!H58)</f>
        <v>0</v>
      </c>
      <c r="I58">
        <f>IF(ISNUMBER('Sankey2050 (GWh original)'!I58),('Sankey2050 (GWh original)'!I58)/277.8,'Sankey2050 (GWh original)'!I58)</f>
        <v>0</v>
      </c>
      <c r="J58">
        <f>IF(ISNUMBER('Sankey2050 (GWh original)'!J58),('Sankey2050 (GWh original)'!J58)/277.8,'Sankey2050 (GWh original)'!J58)</f>
        <v>0</v>
      </c>
      <c r="K58">
        <f>IF(ISNUMBER('Sankey2050 (GWh original)'!K58),('Sankey2050 (GWh original)'!K58)/277.8,'Sankey2050 (GWh original)'!K58)</f>
        <v>0</v>
      </c>
      <c r="L58">
        <f>IF(ISNUMBER('Sankey2050 (GWh original)'!L58),('Sankey2050 (GWh original)'!L58)/277.8,'Sankey2050 (GWh original)'!L58)</f>
        <v>0</v>
      </c>
      <c r="M58">
        <f>IF(ISNUMBER('Sankey2050 (GWh original)'!M58),('Sankey2050 (GWh original)'!M58)/277.8,'Sankey2050 (GWh original)'!M58)</f>
        <v>0</v>
      </c>
      <c r="N58">
        <f>IF(ISNUMBER('Sankey2050 (GWh original)'!N58),('Sankey2050 (GWh original)'!N58)/277.8,'Sankey2050 (GWh original)'!N58)</f>
        <v>0</v>
      </c>
    </row>
    <row r="59" spans="1:14" x14ac:dyDescent="0.25">
      <c r="A59">
        <f>IF(ISNUMBER('Sankey2050 (GWh original)'!A59),('Sankey2050 (GWh original)'!A59)/277.8,'Sankey2050 (GWh original)'!A59)</f>
        <v>0</v>
      </c>
      <c r="B59" s="3" t="str">
        <f>IF(ISNUMBER('Sankey2050 (GWh original)'!B59),('Sankey2050 (GWh original)'!B59)/277.8,'Sankey2050 (GWh original)'!B59)</f>
        <v>Oberflächennahe Umweltwärme</v>
      </c>
      <c r="C59" s="74">
        <f>IF(ISNUMBER('Sankey2050 (GWh original)'!C59),('Sankey2050 (GWh original)'!C59)/277.8,'Sankey2050 (GWh original)'!C59)</f>
        <v>67.994565874730014</v>
      </c>
      <c r="E59">
        <f>IF(ISNUMBER('Sankey2050 (GWh original)'!E59),('Sankey2050 (GWh original)'!E59)/277.8,'Sankey2050 (GWh original)'!E59)</f>
        <v>0</v>
      </c>
      <c r="F59">
        <f>IF(ISNUMBER('Sankey2050 (GWh original)'!F59),('Sankey2050 (GWh original)'!F59)/277.8,'Sankey2050 (GWh original)'!F59)</f>
        <v>0</v>
      </c>
      <c r="G59">
        <f>IF(ISNUMBER('Sankey2050 (GWh original)'!G59),('Sankey2050 (GWh original)'!G59)/277.8,'Sankey2050 (GWh original)'!G59)</f>
        <v>0</v>
      </c>
      <c r="H59">
        <f>IF(ISNUMBER('Sankey2050 (GWh original)'!H59),('Sankey2050 (GWh original)'!H59)/277.8,'Sankey2050 (GWh original)'!H59)</f>
        <v>0</v>
      </c>
      <c r="I59">
        <f>IF(ISNUMBER('Sankey2050 (GWh original)'!I59),('Sankey2050 (GWh original)'!I59)/277.8,'Sankey2050 (GWh original)'!I59)</f>
        <v>0</v>
      </c>
      <c r="J59">
        <f>IF(ISNUMBER('Sankey2050 (GWh original)'!J59),('Sankey2050 (GWh original)'!J59)/277.8,'Sankey2050 (GWh original)'!J59)</f>
        <v>0</v>
      </c>
      <c r="K59">
        <f>IF(ISNUMBER('Sankey2050 (GWh original)'!K59),('Sankey2050 (GWh original)'!K59)/277.8,'Sankey2050 (GWh original)'!K59)</f>
        <v>0</v>
      </c>
      <c r="L59">
        <f>IF(ISNUMBER('Sankey2050 (GWh original)'!L59),('Sankey2050 (GWh original)'!L59)/277.8,'Sankey2050 (GWh original)'!L59)</f>
        <v>0</v>
      </c>
      <c r="M59">
        <f>IF(ISNUMBER('Sankey2050 (GWh original)'!M59),('Sankey2050 (GWh original)'!M59)/277.8,'Sankey2050 (GWh original)'!M59)</f>
        <v>0</v>
      </c>
      <c r="N59">
        <f>IF(ISNUMBER('Sankey2050 (GWh original)'!N59),('Sankey2050 (GWh original)'!N59)/277.8,'Sankey2050 (GWh original)'!N59)</f>
        <v>0</v>
      </c>
    </row>
    <row r="60" spans="1:14" x14ac:dyDescent="0.25">
      <c r="A60">
        <f>IF(ISNUMBER('Sankey2050 (GWh original)'!A60),('Sankey2050 (GWh original)'!A60)/277.8,'Sankey2050 (GWh original)'!A60)</f>
        <v>0</v>
      </c>
      <c r="B60" s="14" t="str">
        <f>IF(ISNUMBER('Sankey2050 (GWh original)'!B60),('Sankey2050 (GWh original)'!B60)/277.8,'Sankey2050 (GWh original)'!B60)</f>
        <v>Summe</v>
      </c>
      <c r="C60" s="44">
        <f>IF(ISNUMBER('Sankey2050 (GWh original)'!C60),('Sankey2050 (GWh original)'!C60)/277.8,'Sankey2050 (GWh original)'!C60)</f>
        <v>67.994565874730014</v>
      </c>
      <c r="E60">
        <f>IF(ISNUMBER('Sankey2050 (GWh original)'!E60),('Sankey2050 (GWh original)'!E60)/277.8,'Sankey2050 (GWh original)'!E60)</f>
        <v>0</v>
      </c>
      <c r="F60">
        <f>IF(ISNUMBER('Sankey2050 (GWh original)'!F60),('Sankey2050 (GWh original)'!F60)/277.8,'Sankey2050 (GWh original)'!F60)</f>
        <v>0</v>
      </c>
      <c r="G60">
        <f>IF(ISNUMBER('Sankey2050 (GWh original)'!G60),('Sankey2050 (GWh original)'!G60)/277.8,'Sankey2050 (GWh original)'!G60)</f>
        <v>0</v>
      </c>
      <c r="H60">
        <f>IF(ISNUMBER('Sankey2050 (GWh original)'!H60),('Sankey2050 (GWh original)'!H60)/277.8,'Sankey2050 (GWh original)'!H60)</f>
        <v>0</v>
      </c>
      <c r="I60">
        <f>IF(ISNUMBER('Sankey2050 (GWh original)'!I60),('Sankey2050 (GWh original)'!I60)/277.8,'Sankey2050 (GWh original)'!I60)</f>
        <v>0</v>
      </c>
      <c r="J60">
        <f>IF(ISNUMBER('Sankey2050 (GWh original)'!J60),('Sankey2050 (GWh original)'!J60)/277.8,'Sankey2050 (GWh original)'!J60)</f>
        <v>0</v>
      </c>
      <c r="K60">
        <f>IF(ISNUMBER('Sankey2050 (GWh original)'!K60),('Sankey2050 (GWh original)'!K60)/277.8,'Sankey2050 (GWh original)'!K60)</f>
        <v>0</v>
      </c>
      <c r="L60">
        <f>IF(ISNUMBER('Sankey2050 (GWh original)'!L60),('Sankey2050 (GWh original)'!L60)/277.8,'Sankey2050 (GWh original)'!L60)</f>
        <v>0</v>
      </c>
      <c r="M60">
        <f>IF(ISNUMBER('Sankey2050 (GWh original)'!M60),('Sankey2050 (GWh original)'!M60)/277.8,'Sankey2050 (GWh original)'!M60)</f>
        <v>0</v>
      </c>
      <c r="N60">
        <f>IF(ISNUMBER('Sankey2050 (GWh original)'!N60),('Sankey2050 (GWh original)'!N60)/277.8,'Sankey2050 (GWh original)'!N60)</f>
        <v>0</v>
      </c>
    </row>
    <row r="61" spans="1:14" x14ac:dyDescent="0.25">
      <c r="A61">
        <f>IF(ISNUMBER('Sankey2050 (GWh original)'!A61),('Sankey2050 (GWh original)'!A61)/277.8,'Sankey2050 (GWh original)'!A61)</f>
        <v>0</v>
      </c>
      <c r="B61" s="16" t="str">
        <f>IF(ISNUMBER('Sankey2050 (GWh original)'!B61),('Sankey2050 (GWh original)'!B61)/277.8,'Sankey2050 (GWh original)'!B61)</f>
        <v>Gesamtsumme</v>
      </c>
      <c r="C61" s="45">
        <f>IF(ISNUMBER('Sankey2050 (GWh original)'!C61),('Sankey2050 (GWh original)'!C61)/277.8,'Sankey2050 (GWh original)'!C61)</f>
        <v>67.994565874730014</v>
      </c>
      <c r="E61">
        <f>IF(ISNUMBER('Sankey2050 (GWh original)'!E61),('Sankey2050 (GWh original)'!E61)/277.8,'Sankey2050 (GWh original)'!E61)</f>
        <v>0</v>
      </c>
      <c r="F61">
        <f>IF(ISNUMBER('Sankey2050 (GWh original)'!F61),('Sankey2050 (GWh original)'!F61)/277.8,'Sankey2050 (GWh original)'!F61)</f>
        <v>0</v>
      </c>
      <c r="G61" s="55" t="str">
        <f>IF(ISNUMBER('Sankey2050 (GWh original)'!G61),('Sankey2050 (GWh original)'!G61)/277.8,'Sankey2050 (GWh original)'!G61)</f>
        <v>davon</v>
      </c>
      <c r="H61" s="55">
        <f>IF(ISNUMBER('Sankey2050 (GWh original)'!H61),('Sankey2050 (GWh original)'!H61)/277.8,'Sankey2050 (GWh original)'!H61)</f>
        <v>0</v>
      </c>
      <c r="I61">
        <f>IF(ISNUMBER('Sankey2050 (GWh original)'!I61),('Sankey2050 (GWh original)'!I61)/277.8,'Sankey2050 (GWh original)'!I61)</f>
        <v>0</v>
      </c>
      <c r="J61">
        <f>IF(ISNUMBER('Sankey2050 (GWh original)'!J61),('Sankey2050 (GWh original)'!J61)/277.8,'Sankey2050 (GWh original)'!J61)</f>
        <v>0</v>
      </c>
      <c r="K61">
        <f>IF(ISNUMBER('Sankey2050 (GWh original)'!K61),('Sankey2050 (GWh original)'!K61)/277.8,'Sankey2050 (GWh original)'!K61)</f>
        <v>0</v>
      </c>
      <c r="L61">
        <f>IF(ISNUMBER('Sankey2050 (GWh original)'!L61),('Sankey2050 (GWh original)'!L61)/277.8,'Sankey2050 (GWh original)'!L61)</f>
        <v>0</v>
      </c>
      <c r="M61">
        <f>IF(ISNUMBER('Sankey2050 (GWh original)'!M61),('Sankey2050 (GWh original)'!M61)/277.8,'Sankey2050 (GWh original)'!M61)</f>
        <v>0</v>
      </c>
      <c r="N61">
        <f>IF(ISNUMBER('Sankey2050 (GWh original)'!N61),('Sankey2050 (GWh original)'!N61)/277.8,'Sankey2050 (GWh original)'!N61)</f>
        <v>0</v>
      </c>
    </row>
    <row r="62" spans="1:14" x14ac:dyDescent="0.25">
      <c r="A62">
        <f>IF(ISNUMBER('Sankey2050 (GWh original)'!A62),('Sankey2050 (GWh original)'!A62)/277.8,'Sankey2050 (GWh original)'!A62)</f>
        <v>0</v>
      </c>
      <c r="B62">
        <f>IF(ISNUMBER('Sankey2050 (GWh original)'!B62),('Sankey2050 (GWh original)'!B62)/277.8,'Sankey2050 (GWh original)'!B62)</f>
        <v>0</v>
      </c>
      <c r="C62">
        <f>IF(ISNUMBER('Sankey2050 (GWh original)'!C62),('Sankey2050 (GWh original)'!C62)/277.8,'Sankey2050 (GWh original)'!C62)</f>
        <v>0</v>
      </c>
      <c r="E62">
        <f>IF(ISNUMBER('Sankey2050 (GWh original)'!E62),('Sankey2050 (GWh original)'!E62)/277.8,'Sankey2050 (GWh original)'!E62)</f>
        <v>0</v>
      </c>
      <c r="F62">
        <f>IF(ISNUMBER('Sankey2050 (GWh original)'!F62),('Sankey2050 (GWh original)'!F62)/277.8,'Sankey2050 (GWh original)'!F62)</f>
        <v>0</v>
      </c>
      <c r="G62" s="55" t="str">
        <f>IF(ISNUMBER('Sankey2050 (GWh original)'!G62),('Sankey2050 (GWh original)'!G62)/277.8,'Sankey2050 (GWh original)'!G62)</f>
        <v>Solarthermie</v>
      </c>
      <c r="H62" s="55" t="str">
        <f>IF(ISNUMBER('Sankey2050 (GWh original)'!H62),('Sankey2050 (GWh original)'!H62)/277.8,'Sankey2050 (GWh original)'!H62)</f>
        <v>Biomasse</v>
      </c>
      <c r="I62">
        <f>IF(ISNUMBER('Sankey2050 (GWh original)'!I62),('Sankey2050 (GWh original)'!I62)/277.8,'Sankey2050 (GWh original)'!I62)</f>
        <v>0</v>
      </c>
      <c r="J62">
        <f>IF(ISNUMBER('Sankey2050 (GWh original)'!J62),('Sankey2050 (GWh original)'!J62)/277.8,'Sankey2050 (GWh original)'!J62)</f>
        <v>0</v>
      </c>
      <c r="K62">
        <f>IF(ISNUMBER('Sankey2050 (GWh original)'!K62),('Sankey2050 (GWh original)'!K62)/277.8,'Sankey2050 (GWh original)'!K62)</f>
        <v>0</v>
      </c>
      <c r="L62">
        <f>IF(ISNUMBER('Sankey2050 (GWh original)'!L62),('Sankey2050 (GWh original)'!L62)/277.8,'Sankey2050 (GWh original)'!L62)</f>
        <v>0</v>
      </c>
      <c r="M62">
        <f>IF(ISNUMBER('Sankey2050 (GWh original)'!M62),('Sankey2050 (GWh original)'!M62)/277.8,'Sankey2050 (GWh original)'!M62)</f>
        <v>0</v>
      </c>
      <c r="N62">
        <f>IF(ISNUMBER('Sankey2050 (GWh original)'!N62),('Sankey2050 (GWh original)'!N62)/277.8,'Sankey2050 (GWh original)'!N62)</f>
        <v>0</v>
      </c>
    </row>
    <row r="63" spans="1:14" x14ac:dyDescent="0.25">
      <c r="A63">
        <f>IF(ISNUMBER('Sankey2050 (GWh original)'!A63),('Sankey2050 (GWh original)'!A63)/277.8,'Sankey2050 (GWh original)'!A63)</f>
        <v>0</v>
      </c>
      <c r="B63" s="33" t="str">
        <f>IF(ISNUMBER('Sankey2050 (GWh original)'!B63),('Sankey2050 (GWh original)'!B63)/277.8,'Sankey2050 (GWh original)'!B63)</f>
        <v>Wärme &lt;100 [GWh]</v>
      </c>
      <c r="C63" s="74">
        <f>IF(ISNUMBER('Sankey2050 (GWh original)'!C63),('Sankey2050 (GWh original)'!C63)/277.8,'Sankey2050 (GWh original)'!C63)</f>
        <v>177.2858313174946</v>
      </c>
      <c r="E63" s="3" t="str">
        <f>IF(ISNUMBER('Sankey2050 (GWh original)'!E63),('Sankey2050 (GWh original)'!E63)/277.8,'Sankey2050 (GWh original)'!E63)</f>
        <v>Gebäude</v>
      </c>
      <c r="F63" s="50">
        <f>IF(ISNUMBER('Sankey2050 (GWh original)'!F63),('Sankey2050 (GWh original)'!F63)/277.8,'Sankey2050 (GWh original)'!F63)</f>
        <v>81.993447084233267</v>
      </c>
      <c r="G63" s="74">
        <f>IF(ISNUMBER('Sankey2050 (GWh original)'!G63),('Sankey2050 (GWh original)'!G63)/277.8,'Sankey2050 (GWh original)'!G63)</f>
        <v>68.994485961123104</v>
      </c>
      <c r="H63" s="74">
        <f>IF(ISNUMBER('Sankey2050 (GWh original)'!H63),('Sankey2050 (GWh original)'!H63)/277.8,'Sankey2050 (GWh original)'!H63)</f>
        <v>12.998961123110156</v>
      </c>
      <c r="I63">
        <f>IF(ISNUMBER('Sankey2050 (GWh original)'!I63),('Sankey2050 (GWh original)'!I63)/277.8,'Sankey2050 (GWh original)'!I63)</f>
        <v>0</v>
      </c>
      <c r="J63">
        <f>IF(ISNUMBER('Sankey2050 (GWh original)'!J63),('Sankey2050 (GWh original)'!J63)/277.8,'Sankey2050 (GWh original)'!J63)</f>
        <v>0</v>
      </c>
      <c r="K63">
        <f>IF(ISNUMBER('Sankey2050 (GWh original)'!K63),('Sankey2050 (GWh original)'!K63)/277.8,'Sankey2050 (GWh original)'!K63)</f>
        <v>0</v>
      </c>
      <c r="L63">
        <f>IF(ISNUMBER('Sankey2050 (GWh original)'!L63),('Sankey2050 (GWh original)'!L63)/277.8,'Sankey2050 (GWh original)'!L63)</f>
        <v>0</v>
      </c>
      <c r="M63">
        <f>IF(ISNUMBER('Sankey2050 (GWh original)'!M63),('Sankey2050 (GWh original)'!M63)/277.8,'Sankey2050 (GWh original)'!M63)</f>
        <v>0</v>
      </c>
      <c r="N63">
        <f>IF(ISNUMBER('Sankey2050 (GWh original)'!N63),('Sankey2050 (GWh original)'!N63)/277.8,'Sankey2050 (GWh original)'!N63)</f>
        <v>0</v>
      </c>
    </row>
    <row r="64" spans="1:14" x14ac:dyDescent="0.25">
      <c r="A64">
        <f>IF(ISNUMBER('Sankey2050 (GWh original)'!A64),('Sankey2050 (GWh original)'!A64)/277.8,'Sankey2050 (GWh original)'!A64)</f>
        <v>0</v>
      </c>
      <c r="B64" s="3" t="str">
        <f>IF(ISNUMBER('Sankey2050 (GWh original)'!B64),('Sankey2050 (GWh original)'!B64)/277.8,'Sankey2050 (GWh original)'!B64)</f>
        <v>Biomasse</v>
      </c>
      <c r="C64" s="74">
        <f>IF(ISNUMBER('Sankey2050 (GWh original)'!C64),('Sankey2050 (GWh original)'!C64)/277.8,'Sankey2050 (GWh original)'!C64)</f>
        <v>102.29182483801296</v>
      </c>
      <c r="E64" s="3" t="str">
        <f>IF(ISNUMBER('Sankey2050 (GWh original)'!E64),('Sankey2050 (GWh original)'!E64)/277.8,'Sankey2050 (GWh original)'!E64)</f>
        <v>Industrie</v>
      </c>
      <c r="F64" s="50">
        <f>IF(ISNUMBER('Sankey2050 (GWh original)'!F64),('Sankey2050 (GWh original)'!F64)/277.8,'Sankey2050 (GWh original)'!F64)</f>
        <v>95.292384233261345</v>
      </c>
      <c r="G64" s="74">
        <f>IF(ISNUMBER('Sankey2050 (GWh original)'!G64),('Sankey2050 (GWh original)'!G64)/277.8,'Sankey2050 (GWh original)'!G64)</f>
        <v>0</v>
      </c>
      <c r="H64" s="74">
        <f>IF(ISNUMBER('Sankey2050 (GWh original)'!H64),('Sankey2050 (GWh original)'!H64)/277.8,'Sankey2050 (GWh original)'!H64)</f>
        <v>89.292863714902794</v>
      </c>
      <c r="I64">
        <f>IF(ISNUMBER('Sankey2050 (GWh original)'!I64),('Sankey2050 (GWh original)'!I64)/277.8,'Sankey2050 (GWh original)'!I64)</f>
        <v>0</v>
      </c>
      <c r="J64">
        <f>IF(ISNUMBER('Sankey2050 (GWh original)'!J64),('Sankey2050 (GWh original)'!J64)/277.8,'Sankey2050 (GWh original)'!J64)</f>
        <v>0</v>
      </c>
      <c r="K64">
        <f>IF(ISNUMBER('Sankey2050 (GWh original)'!K64),('Sankey2050 (GWh original)'!K64)/277.8,'Sankey2050 (GWh original)'!K64)</f>
        <v>0</v>
      </c>
      <c r="L64">
        <f>IF(ISNUMBER('Sankey2050 (GWh original)'!L64),('Sankey2050 (GWh original)'!L64)/277.8,'Sankey2050 (GWh original)'!L64)</f>
        <v>0</v>
      </c>
      <c r="M64">
        <f>IF(ISNUMBER('Sankey2050 (GWh original)'!M64),('Sankey2050 (GWh original)'!M64)/277.8,'Sankey2050 (GWh original)'!M64)</f>
        <v>0</v>
      </c>
      <c r="N64">
        <f>IF(ISNUMBER('Sankey2050 (GWh original)'!N64),('Sankey2050 (GWh original)'!N64)/277.8,'Sankey2050 (GWh original)'!N64)</f>
        <v>0</v>
      </c>
    </row>
    <row r="65" spans="1:18" x14ac:dyDescent="0.25">
      <c r="A65">
        <f>IF(ISNUMBER('Sankey2050 (GWh original)'!A65),('Sankey2050 (GWh original)'!A65)/277.8,'Sankey2050 (GWh original)'!A65)</f>
        <v>0</v>
      </c>
      <c r="B65" s="3" t="str">
        <f>IF(ISNUMBER('Sankey2050 (GWh original)'!B65),('Sankey2050 (GWh original)'!B65)/277.8,'Sankey2050 (GWh original)'!B65)</f>
        <v>Wasserkraft</v>
      </c>
      <c r="C65" s="74">
        <f>IF(ISNUMBER('Sankey2050 (GWh original)'!C65),('Sankey2050 (GWh original)'!C65)/277.8,'Sankey2050 (GWh original)'!C65)</f>
        <v>0</v>
      </c>
      <c r="E65" s="3" t="str">
        <f>IF(ISNUMBER('Sankey2050 (GWh original)'!E65),('Sankey2050 (GWh original)'!E65)/277.8,'Sankey2050 (GWh original)'!E65)</f>
        <v>Summe</v>
      </c>
      <c r="F65" s="74">
        <f>IF(ISNUMBER('Sankey2050 (GWh original)'!F65),('Sankey2050 (GWh original)'!F65)/277.8,'Sankey2050 (GWh original)'!F65)</f>
        <v>177.2858313174946</v>
      </c>
      <c r="G65">
        <f>IF(ISNUMBER('Sankey2050 (GWh original)'!G65),('Sankey2050 (GWh original)'!G65)/277.8,'Sankey2050 (GWh original)'!G65)</f>
        <v>0</v>
      </c>
      <c r="H65">
        <f>IF(ISNUMBER('Sankey2050 (GWh original)'!H65),('Sankey2050 (GWh original)'!H65)/277.8,'Sankey2050 (GWh original)'!H65)</f>
        <v>0</v>
      </c>
      <c r="I65">
        <f>IF(ISNUMBER('Sankey2050 (GWh original)'!I65),('Sankey2050 (GWh original)'!I65)/277.8,'Sankey2050 (GWh original)'!I65)</f>
        <v>0</v>
      </c>
      <c r="J65">
        <f>IF(ISNUMBER('Sankey2050 (GWh original)'!J65),('Sankey2050 (GWh original)'!J65)/277.8,'Sankey2050 (GWh original)'!J65)</f>
        <v>0</v>
      </c>
      <c r="K65">
        <f>IF(ISNUMBER('Sankey2050 (GWh original)'!K65),('Sankey2050 (GWh original)'!K65)/277.8,'Sankey2050 (GWh original)'!K65)</f>
        <v>0</v>
      </c>
      <c r="L65">
        <f>IF(ISNUMBER('Sankey2050 (GWh original)'!L65),('Sankey2050 (GWh original)'!L65)/277.8,'Sankey2050 (GWh original)'!L65)</f>
        <v>0</v>
      </c>
      <c r="M65">
        <f>IF(ISNUMBER('Sankey2050 (GWh original)'!M65),('Sankey2050 (GWh original)'!M65)/277.8,'Sankey2050 (GWh original)'!M65)</f>
        <v>0</v>
      </c>
      <c r="N65">
        <f>IF(ISNUMBER('Sankey2050 (GWh original)'!N65),('Sankey2050 (GWh original)'!N65)/277.8,'Sankey2050 (GWh original)'!N65)</f>
        <v>0</v>
      </c>
    </row>
    <row r="66" spans="1:18" x14ac:dyDescent="0.25">
      <c r="A66">
        <f>IF(ISNUMBER('Sankey2050 (GWh original)'!A66),('Sankey2050 (GWh original)'!A66)/277.8,'Sankey2050 (GWh original)'!A66)</f>
        <v>0</v>
      </c>
      <c r="B66" s="3" t="str">
        <f>IF(ISNUMBER('Sankey2050 (GWh original)'!B66),('Sankey2050 (GWh original)'!B66)/277.8,'Sankey2050 (GWh original)'!B66)</f>
        <v>Windenergie</v>
      </c>
      <c r="C66" s="74">
        <f>IF(ISNUMBER('Sankey2050 (GWh original)'!C66),('Sankey2050 (GWh original)'!C66)/277.8,'Sankey2050 (GWh original)'!C66)</f>
        <v>0</v>
      </c>
      <c r="E66">
        <f>IF(ISNUMBER('Sankey2050 (GWh original)'!E66),('Sankey2050 (GWh original)'!E66)/277.8,'Sankey2050 (GWh original)'!E66)</f>
        <v>0</v>
      </c>
      <c r="F66">
        <f>IF(ISNUMBER('Sankey2050 (GWh original)'!F66),('Sankey2050 (GWh original)'!F66)/277.8,'Sankey2050 (GWh original)'!F66)</f>
        <v>0</v>
      </c>
      <c r="G66">
        <f>IF(ISNUMBER('Sankey2050 (GWh original)'!G66),('Sankey2050 (GWh original)'!G66)/277.8,'Sankey2050 (GWh original)'!G66)</f>
        <v>0</v>
      </c>
      <c r="H66">
        <f>IF(ISNUMBER('Sankey2050 (GWh original)'!H66),('Sankey2050 (GWh original)'!H66)/277.8,'Sankey2050 (GWh original)'!H66)</f>
        <v>0</v>
      </c>
      <c r="I66">
        <f>IF(ISNUMBER('Sankey2050 (GWh original)'!I66),('Sankey2050 (GWh original)'!I66)/277.8,'Sankey2050 (GWh original)'!I66)</f>
        <v>0</v>
      </c>
      <c r="J66">
        <f>IF(ISNUMBER('Sankey2050 (GWh original)'!J66),('Sankey2050 (GWh original)'!J66)/277.8,'Sankey2050 (GWh original)'!J66)</f>
        <v>0</v>
      </c>
      <c r="K66">
        <f>IF(ISNUMBER('Sankey2050 (GWh original)'!K66),('Sankey2050 (GWh original)'!K66)/277.8,'Sankey2050 (GWh original)'!K66)</f>
        <v>0</v>
      </c>
      <c r="L66">
        <f>IF(ISNUMBER('Sankey2050 (GWh original)'!L66),('Sankey2050 (GWh original)'!L66)/277.8,'Sankey2050 (GWh original)'!L66)</f>
        <v>0</v>
      </c>
      <c r="M66">
        <f>IF(ISNUMBER('Sankey2050 (GWh original)'!M66),('Sankey2050 (GWh original)'!M66)/277.8,'Sankey2050 (GWh original)'!M66)</f>
        <v>0</v>
      </c>
      <c r="N66">
        <f>IF(ISNUMBER('Sankey2050 (GWh original)'!N66),('Sankey2050 (GWh original)'!N66)/277.8,'Sankey2050 (GWh original)'!N66)</f>
        <v>0</v>
      </c>
    </row>
    <row r="67" spans="1:18" x14ac:dyDescent="0.25">
      <c r="A67">
        <f>IF(ISNUMBER('Sankey2050 (GWh original)'!A67),('Sankey2050 (GWh original)'!A67)/277.8,'Sankey2050 (GWh original)'!A67)</f>
        <v>0</v>
      </c>
      <c r="B67" s="14" t="str">
        <f>IF(ISNUMBER('Sankey2050 (GWh original)'!B67),('Sankey2050 (GWh original)'!B67)/277.8,'Sankey2050 (GWh original)'!B67)</f>
        <v>Summe</v>
      </c>
      <c r="C67" s="44">
        <f>IF(ISNUMBER('Sankey2050 (GWh original)'!C67),('Sankey2050 (GWh original)'!C67)/277.8,'Sankey2050 (GWh original)'!C67)</f>
        <v>102.29182483801296</v>
      </c>
      <c r="E67">
        <f>IF(ISNUMBER('Sankey2050 (GWh original)'!E67),('Sankey2050 (GWh original)'!E67)/277.8,'Sankey2050 (GWh original)'!E67)</f>
        <v>0</v>
      </c>
      <c r="F67" s="9">
        <f>IF(ISNUMBER('Sankey2050 (GWh original)'!F67),('Sankey2050 (GWh original)'!F67)/277.8,'Sankey2050 (GWh original)'!F67)</f>
        <v>0</v>
      </c>
      <c r="G67">
        <f>IF(ISNUMBER('Sankey2050 (GWh original)'!G67),('Sankey2050 (GWh original)'!G67)/277.8,'Sankey2050 (GWh original)'!G67)</f>
        <v>0</v>
      </c>
      <c r="H67">
        <f>IF(ISNUMBER('Sankey2050 (GWh original)'!H67),('Sankey2050 (GWh original)'!H67)/277.8,'Sankey2050 (GWh original)'!H67)</f>
        <v>0</v>
      </c>
      <c r="I67">
        <f>IF(ISNUMBER('Sankey2050 (GWh original)'!I67),('Sankey2050 (GWh original)'!I67)/277.8,'Sankey2050 (GWh original)'!I67)</f>
        <v>0</v>
      </c>
      <c r="J67">
        <f>IF(ISNUMBER('Sankey2050 (GWh original)'!J67),('Sankey2050 (GWh original)'!J67)/277.8,'Sankey2050 (GWh original)'!J67)</f>
        <v>0</v>
      </c>
      <c r="K67">
        <f>IF(ISNUMBER('Sankey2050 (GWh original)'!K67),('Sankey2050 (GWh original)'!K67)/277.8,'Sankey2050 (GWh original)'!K67)</f>
        <v>0</v>
      </c>
      <c r="L67">
        <f>IF(ISNUMBER('Sankey2050 (GWh original)'!L67),('Sankey2050 (GWh original)'!L67)/277.8,'Sankey2050 (GWh original)'!L67)</f>
        <v>0</v>
      </c>
      <c r="M67">
        <f>IF(ISNUMBER('Sankey2050 (GWh original)'!M67),('Sankey2050 (GWh original)'!M67)/277.8,'Sankey2050 (GWh original)'!M67)</f>
        <v>0</v>
      </c>
      <c r="N67">
        <f>IF(ISNUMBER('Sankey2050 (GWh original)'!N67),('Sankey2050 (GWh original)'!N67)/277.8,'Sankey2050 (GWh original)'!N67)</f>
        <v>0</v>
      </c>
    </row>
    <row r="68" spans="1:18" x14ac:dyDescent="0.25">
      <c r="A68">
        <f>IF(ISNUMBER('Sankey2050 (GWh original)'!A68),('Sankey2050 (GWh original)'!A68)/277.8,'Sankey2050 (GWh original)'!A68)</f>
        <v>0</v>
      </c>
      <c r="B68" s="3" t="str">
        <f>IF(ISNUMBER('Sankey2050 (GWh original)'!B68),('Sankey2050 (GWh original)'!B68)/277.8,'Sankey2050 (GWh original)'!B68)</f>
        <v>Photovoltaik</v>
      </c>
      <c r="C68" s="74">
        <f>IF(ISNUMBER('Sankey2050 (GWh original)'!C68),('Sankey2050 (GWh original)'!C68)/277.8,'Sankey2050 (GWh original)'!C68)</f>
        <v>0</v>
      </c>
      <c r="E68">
        <f>IF(ISNUMBER('Sankey2050 (GWh original)'!E68),('Sankey2050 (GWh original)'!E68)/277.8,'Sankey2050 (GWh original)'!E68)</f>
        <v>0</v>
      </c>
      <c r="F68">
        <f>IF(ISNUMBER('Sankey2050 (GWh original)'!F68),('Sankey2050 (GWh original)'!F68)/277.8,'Sankey2050 (GWh original)'!F68)</f>
        <v>0</v>
      </c>
      <c r="G68">
        <f>IF(ISNUMBER('Sankey2050 (GWh original)'!G68),('Sankey2050 (GWh original)'!G68)/277.8,'Sankey2050 (GWh original)'!G68)</f>
        <v>0</v>
      </c>
      <c r="H68">
        <f>IF(ISNUMBER('Sankey2050 (GWh original)'!H68),('Sankey2050 (GWh original)'!H68)/277.8,'Sankey2050 (GWh original)'!H68)</f>
        <v>0</v>
      </c>
      <c r="I68">
        <f>IF(ISNUMBER('Sankey2050 (GWh original)'!I68),('Sankey2050 (GWh original)'!I68)/277.8,'Sankey2050 (GWh original)'!I68)</f>
        <v>0</v>
      </c>
      <c r="J68">
        <f>IF(ISNUMBER('Sankey2050 (GWh original)'!J68),('Sankey2050 (GWh original)'!J68)/277.8,'Sankey2050 (GWh original)'!J68)</f>
        <v>0</v>
      </c>
      <c r="K68">
        <f>IF(ISNUMBER('Sankey2050 (GWh original)'!K68),('Sankey2050 (GWh original)'!K68)/277.8,'Sankey2050 (GWh original)'!K68)</f>
        <v>0</v>
      </c>
      <c r="L68">
        <f>IF(ISNUMBER('Sankey2050 (GWh original)'!L68),('Sankey2050 (GWh original)'!L68)/277.8,'Sankey2050 (GWh original)'!L68)</f>
        <v>0</v>
      </c>
      <c r="M68">
        <f>IF(ISNUMBER('Sankey2050 (GWh original)'!M68),('Sankey2050 (GWh original)'!M68)/277.8,'Sankey2050 (GWh original)'!M68)</f>
        <v>0</v>
      </c>
      <c r="N68">
        <f>IF(ISNUMBER('Sankey2050 (GWh original)'!N68),('Sankey2050 (GWh original)'!N68)/277.8,'Sankey2050 (GWh original)'!N68)</f>
        <v>0</v>
      </c>
    </row>
    <row r="69" spans="1:18" x14ac:dyDescent="0.25">
      <c r="A69">
        <f>IF(ISNUMBER('Sankey2050 (GWh original)'!A69),('Sankey2050 (GWh original)'!A69)/277.8,'Sankey2050 (GWh original)'!A69)</f>
        <v>0</v>
      </c>
      <c r="B69" s="3" t="str">
        <f>IF(ISNUMBER('Sankey2050 (GWh original)'!B69),('Sankey2050 (GWh original)'!B69)/277.8,'Sankey2050 (GWh original)'!B69)</f>
        <v>Solarthermie</v>
      </c>
      <c r="C69" s="74">
        <f>IF(ISNUMBER('Sankey2050 (GWh original)'!C69),('Sankey2050 (GWh original)'!C69)/277.8,'Sankey2050 (GWh original)'!C69)</f>
        <v>74.994006479481655</v>
      </c>
      <c r="E69">
        <f>IF(ISNUMBER('Sankey2050 (GWh original)'!E69),('Sankey2050 (GWh original)'!E69)/277.8,'Sankey2050 (GWh original)'!E69)</f>
        <v>0</v>
      </c>
      <c r="F69">
        <f>IF(ISNUMBER('Sankey2050 (GWh original)'!F69),('Sankey2050 (GWh original)'!F69)/277.8,'Sankey2050 (GWh original)'!F69)</f>
        <v>0</v>
      </c>
      <c r="G69">
        <f>IF(ISNUMBER('Sankey2050 (GWh original)'!G69),('Sankey2050 (GWh original)'!G69)/277.8,'Sankey2050 (GWh original)'!G69)</f>
        <v>0</v>
      </c>
      <c r="H69">
        <f>IF(ISNUMBER('Sankey2050 (GWh original)'!H69),('Sankey2050 (GWh original)'!H69)/277.8,'Sankey2050 (GWh original)'!H69)</f>
        <v>0</v>
      </c>
      <c r="I69">
        <f>IF(ISNUMBER('Sankey2050 (GWh original)'!I69),('Sankey2050 (GWh original)'!I69)/277.8,'Sankey2050 (GWh original)'!I69)</f>
        <v>0</v>
      </c>
      <c r="J69">
        <f>IF(ISNUMBER('Sankey2050 (GWh original)'!J69),('Sankey2050 (GWh original)'!J69)/277.8,'Sankey2050 (GWh original)'!J69)</f>
        <v>0</v>
      </c>
      <c r="K69">
        <f>IF(ISNUMBER('Sankey2050 (GWh original)'!K69),('Sankey2050 (GWh original)'!K69)/277.8,'Sankey2050 (GWh original)'!K69)</f>
        <v>0</v>
      </c>
      <c r="L69">
        <f>IF(ISNUMBER('Sankey2050 (GWh original)'!L69),('Sankey2050 (GWh original)'!L69)/277.8,'Sankey2050 (GWh original)'!L69)</f>
        <v>0</v>
      </c>
      <c r="M69">
        <f>IF(ISNUMBER('Sankey2050 (GWh original)'!M69),('Sankey2050 (GWh original)'!M69)/277.8,'Sankey2050 (GWh original)'!M69)</f>
        <v>0</v>
      </c>
      <c r="N69">
        <f>IF(ISNUMBER('Sankey2050 (GWh original)'!N69),('Sankey2050 (GWh original)'!N69)/277.8,'Sankey2050 (GWh original)'!N69)</f>
        <v>0</v>
      </c>
    </row>
    <row r="70" spans="1:18" x14ac:dyDescent="0.25">
      <c r="A70">
        <f>IF(ISNUMBER('Sankey2050 (GWh original)'!A70),('Sankey2050 (GWh original)'!A70)/277.8,'Sankey2050 (GWh original)'!A70)</f>
        <v>0</v>
      </c>
      <c r="B70" s="3" t="str">
        <f>IF(ISNUMBER('Sankey2050 (GWh original)'!B70),('Sankey2050 (GWh original)'!B70)/277.8,'Sankey2050 (GWh original)'!B70)</f>
        <v>Oberflächennahe Umweltwärme</v>
      </c>
      <c r="C70" s="74">
        <f>IF(ISNUMBER('Sankey2050 (GWh original)'!C70),('Sankey2050 (GWh original)'!C70)/277.8,'Sankey2050 (GWh original)'!C70)</f>
        <v>0</v>
      </c>
      <c r="E70">
        <f>IF(ISNUMBER('Sankey2050 (GWh original)'!E70),('Sankey2050 (GWh original)'!E70)/277.8,'Sankey2050 (GWh original)'!E70)</f>
        <v>0</v>
      </c>
      <c r="F70">
        <f>IF(ISNUMBER('Sankey2050 (GWh original)'!F70),('Sankey2050 (GWh original)'!F70)/277.8,'Sankey2050 (GWh original)'!F70)</f>
        <v>0</v>
      </c>
      <c r="G70">
        <f>IF(ISNUMBER('Sankey2050 (GWh original)'!G70),('Sankey2050 (GWh original)'!G70)/277.8,'Sankey2050 (GWh original)'!G70)</f>
        <v>0</v>
      </c>
      <c r="H70">
        <f>IF(ISNUMBER('Sankey2050 (GWh original)'!H70),('Sankey2050 (GWh original)'!H70)/277.8,'Sankey2050 (GWh original)'!H70)</f>
        <v>0</v>
      </c>
      <c r="I70">
        <f>IF(ISNUMBER('Sankey2050 (GWh original)'!I70),('Sankey2050 (GWh original)'!I70)/277.8,'Sankey2050 (GWh original)'!I70)</f>
        <v>0</v>
      </c>
      <c r="J70">
        <f>IF(ISNUMBER('Sankey2050 (GWh original)'!J70),('Sankey2050 (GWh original)'!J70)/277.8,'Sankey2050 (GWh original)'!J70)</f>
        <v>0</v>
      </c>
      <c r="K70">
        <f>IF(ISNUMBER('Sankey2050 (GWh original)'!K70),('Sankey2050 (GWh original)'!K70)/277.8,'Sankey2050 (GWh original)'!K70)</f>
        <v>0</v>
      </c>
      <c r="L70">
        <f>IF(ISNUMBER('Sankey2050 (GWh original)'!L70),('Sankey2050 (GWh original)'!L70)/277.8,'Sankey2050 (GWh original)'!L70)</f>
        <v>0</v>
      </c>
      <c r="M70">
        <f>IF(ISNUMBER('Sankey2050 (GWh original)'!M70),('Sankey2050 (GWh original)'!M70)/277.8,'Sankey2050 (GWh original)'!M70)</f>
        <v>0</v>
      </c>
      <c r="N70">
        <f>IF(ISNUMBER('Sankey2050 (GWh original)'!N70),('Sankey2050 (GWh original)'!N70)/277.8,'Sankey2050 (GWh original)'!N70)</f>
        <v>0</v>
      </c>
    </row>
    <row r="71" spans="1:18" x14ac:dyDescent="0.25">
      <c r="A71">
        <f>IF(ISNUMBER('Sankey2050 (GWh original)'!A71),('Sankey2050 (GWh original)'!A71)/277.8,'Sankey2050 (GWh original)'!A71)</f>
        <v>0</v>
      </c>
      <c r="B71" s="14" t="str">
        <f>IF(ISNUMBER('Sankey2050 (GWh original)'!B71),('Sankey2050 (GWh original)'!B71)/277.8,'Sankey2050 (GWh original)'!B71)</f>
        <v>Summe</v>
      </c>
      <c r="C71" s="44">
        <f>IF(ISNUMBER('Sankey2050 (GWh original)'!C71),('Sankey2050 (GWh original)'!C71)/277.8,'Sankey2050 (GWh original)'!C71)</f>
        <v>74.994006479481655</v>
      </c>
      <c r="E71">
        <f>IF(ISNUMBER('Sankey2050 (GWh original)'!E71),('Sankey2050 (GWh original)'!E71)/277.8,'Sankey2050 (GWh original)'!E71)</f>
        <v>0</v>
      </c>
      <c r="F71">
        <f>IF(ISNUMBER('Sankey2050 (GWh original)'!F71),('Sankey2050 (GWh original)'!F71)/277.8,'Sankey2050 (GWh original)'!F71)</f>
        <v>0</v>
      </c>
      <c r="G71" s="1">
        <f>IF(ISNUMBER('Sankey2050 (GWh original)'!G71),('Sankey2050 (GWh original)'!G71)/277.8,'Sankey2050 (GWh original)'!G71)</f>
        <v>0</v>
      </c>
      <c r="H71" s="1">
        <f>IF(ISNUMBER('Sankey2050 (GWh original)'!H71),('Sankey2050 (GWh original)'!H71)/277.8,'Sankey2050 (GWh original)'!H71)</f>
        <v>0</v>
      </c>
      <c r="I71" s="1">
        <f>IF(ISNUMBER('Sankey2050 (GWh original)'!I71),('Sankey2050 (GWh original)'!I71)/277.8,'Sankey2050 (GWh original)'!I71)</f>
        <v>0</v>
      </c>
      <c r="J71" s="1">
        <f>IF(ISNUMBER('Sankey2050 (GWh original)'!J71),('Sankey2050 (GWh original)'!J71)/277.8,'Sankey2050 (GWh original)'!J71)</f>
        <v>0</v>
      </c>
      <c r="K71" s="1">
        <f>IF(ISNUMBER('Sankey2050 (GWh original)'!K71),('Sankey2050 (GWh original)'!K71)/277.8,'Sankey2050 (GWh original)'!K71)</f>
        <v>0</v>
      </c>
      <c r="L71" s="1">
        <f>IF(ISNUMBER('Sankey2050 (GWh original)'!L71),('Sankey2050 (GWh original)'!L71)/277.8,'Sankey2050 (GWh original)'!L71)</f>
        <v>0</v>
      </c>
      <c r="M71" s="1">
        <f>IF(ISNUMBER('Sankey2050 (GWh original)'!M71),('Sankey2050 (GWh original)'!M71)/277.8,'Sankey2050 (GWh original)'!M71)</f>
        <v>0</v>
      </c>
      <c r="N71" s="1">
        <f>IF(ISNUMBER('Sankey2050 (GWh original)'!N71),('Sankey2050 (GWh original)'!N71)/277.8,'Sankey2050 (GWh original)'!N71)</f>
        <v>0</v>
      </c>
      <c r="O71" s="57"/>
      <c r="P71" s="1"/>
      <c r="Q71" s="1"/>
      <c r="R71" s="1"/>
    </row>
    <row r="72" spans="1:18" x14ac:dyDescent="0.25">
      <c r="A72">
        <f>IF(ISNUMBER('Sankey2050 (GWh original)'!A72),('Sankey2050 (GWh original)'!A72)/277.8,'Sankey2050 (GWh original)'!A72)</f>
        <v>0</v>
      </c>
      <c r="B72" s="16" t="str">
        <f>IF(ISNUMBER('Sankey2050 (GWh original)'!B72),('Sankey2050 (GWh original)'!B72)/277.8,'Sankey2050 (GWh original)'!B72)</f>
        <v>Gesamtsumme</v>
      </c>
      <c r="C72" s="45">
        <f>IF(ISNUMBER('Sankey2050 (GWh original)'!C72),('Sankey2050 (GWh original)'!C72)/277.8,'Sankey2050 (GWh original)'!C72)</f>
        <v>177.2858313174946</v>
      </c>
      <c r="D72" s="1"/>
      <c r="E72" s="1">
        <f>IF(ISNUMBER('Sankey2050 (GWh original)'!E72),('Sankey2050 (GWh original)'!E72)/277.8,'Sankey2050 (GWh original)'!E72)</f>
        <v>0</v>
      </c>
      <c r="F72" s="1">
        <f>IF(ISNUMBER('Sankey2050 (GWh original)'!F72),('Sankey2050 (GWh original)'!F72)/277.8,'Sankey2050 (GWh original)'!F72)</f>
        <v>0</v>
      </c>
      <c r="G72">
        <f>IF(ISNUMBER('Sankey2050 (GWh original)'!G72),('Sankey2050 (GWh original)'!G72)/277.8,'Sankey2050 (GWh original)'!G72)</f>
        <v>0</v>
      </c>
      <c r="H72">
        <f>IF(ISNUMBER('Sankey2050 (GWh original)'!H72),('Sankey2050 (GWh original)'!H72)/277.8,'Sankey2050 (GWh original)'!H72)</f>
        <v>0</v>
      </c>
      <c r="I72">
        <f>IF(ISNUMBER('Sankey2050 (GWh original)'!I72),('Sankey2050 (GWh original)'!I72)/277.8,'Sankey2050 (GWh original)'!I72)</f>
        <v>0</v>
      </c>
      <c r="J72">
        <f>IF(ISNUMBER('Sankey2050 (GWh original)'!J72),('Sankey2050 (GWh original)'!J72)/277.8,'Sankey2050 (GWh original)'!J72)</f>
        <v>0</v>
      </c>
      <c r="K72">
        <f>IF(ISNUMBER('Sankey2050 (GWh original)'!K72),('Sankey2050 (GWh original)'!K72)/277.8,'Sankey2050 (GWh original)'!K72)</f>
        <v>0</v>
      </c>
      <c r="L72">
        <f>IF(ISNUMBER('Sankey2050 (GWh original)'!L72),('Sankey2050 (GWh original)'!L72)/277.8,'Sankey2050 (GWh original)'!L72)</f>
        <v>0</v>
      </c>
      <c r="M72">
        <f>IF(ISNUMBER('Sankey2050 (GWh original)'!M72),('Sankey2050 (GWh original)'!M72)/277.8,'Sankey2050 (GWh original)'!M72)</f>
        <v>0</v>
      </c>
      <c r="N72">
        <f>IF(ISNUMBER('Sankey2050 (GWh original)'!N72),('Sankey2050 (GWh original)'!N72)/277.8,'Sankey2050 (GWh original)'!N72)</f>
        <v>0</v>
      </c>
    </row>
    <row r="73" spans="1:18" x14ac:dyDescent="0.25">
      <c r="A73">
        <f>IF(ISNUMBER('Sankey2050 (GWh original)'!A73),('Sankey2050 (GWh original)'!A73)/277.8,'Sankey2050 (GWh original)'!A73)</f>
        <v>0</v>
      </c>
      <c r="B73">
        <f>IF(ISNUMBER('Sankey2050 (GWh original)'!B73),('Sankey2050 (GWh original)'!B73)/277.8,'Sankey2050 (GWh original)'!B73)</f>
        <v>0</v>
      </c>
      <c r="C73">
        <f>IF(ISNUMBER('Sankey2050 (GWh original)'!C73),('Sankey2050 (GWh original)'!C73)/277.8,'Sankey2050 (GWh original)'!C73)</f>
        <v>0</v>
      </c>
      <c r="E73">
        <f>IF(ISNUMBER('Sankey2050 (GWh original)'!E73),('Sankey2050 (GWh original)'!E73)/277.8,'Sankey2050 (GWh original)'!E73)</f>
        <v>0</v>
      </c>
      <c r="F73">
        <f>IF(ISNUMBER('Sankey2050 (GWh original)'!F73),('Sankey2050 (GWh original)'!F73)/277.8,'Sankey2050 (GWh original)'!F73)</f>
        <v>0</v>
      </c>
      <c r="G73">
        <f>IF(ISNUMBER('Sankey2050 (GWh original)'!G73),('Sankey2050 (GWh original)'!G73)/277.8,'Sankey2050 (GWh original)'!G73)</f>
        <v>0</v>
      </c>
      <c r="H73">
        <f>IF(ISNUMBER('Sankey2050 (GWh original)'!H73),('Sankey2050 (GWh original)'!H73)/277.8,'Sankey2050 (GWh original)'!H73)</f>
        <v>0</v>
      </c>
      <c r="I73">
        <f>IF(ISNUMBER('Sankey2050 (GWh original)'!I73),('Sankey2050 (GWh original)'!I73)/277.8,'Sankey2050 (GWh original)'!I73)</f>
        <v>0</v>
      </c>
      <c r="J73">
        <f>IF(ISNUMBER('Sankey2050 (GWh original)'!J73),('Sankey2050 (GWh original)'!J73)/277.8,'Sankey2050 (GWh original)'!J73)</f>
        <v>0</v>
      </c>
      <c r="K73">
        <f>IF(ISNUMBER('Sankey2050 (GWh original)'!K73),('Sankey2050 (GWh original)'!K73)/277.8,'Sankey2050 (GWh original)'!K73)</f>
        <v>0</v>
      </c>
      <c r="L73">
        <f>IF(ISNUMBER('Sankey2050 (GWh original)'!L73),('Sankey2050 (GWh original)'!L73)/277.8,'Sankey2050 (GWh original)'!L73)</f>
        <v>0</v>
      </c>
      <c r="M73">
        <f>IF(ISNUMBER('Sankey2050 (GWh original)'!M73),('Sankey2050 (GWh original)'!M73)/277.8,'Sankey2050 (GWh original)'!M73)</f>
        <v>0</v>
      </c>
      <c r="N73">
        <f>IF(ISNUMBER('Sankey2050 (GWh original)'!N73),('Sankey2050 (GWh original)'!N73)/277.8,'Sankey2050 (GWh original)'!N73)</f>
        <v>0</v>
      </c>
    </row>
    <row r="74" spans="1:18" x14ac:dyDescent="0.25">
      <c r="A74">
        <f>IF(ISNUMBER('Sankey2050 (GWh original)'!A74),('Sankey2050 (GWh original)'!A74)/277.8,'Sankey2050 (GWh original)'!A74)</f>
        <v>0</v>
      </c>
      <c r="B74" s="33" t="str">
        <f>IF(ISNUMBER('Sankey2050 (GWh original)'!B74),('Sankey2050 (GWh original)'!B74)/277.8,'Sankey2050 (GWh original)'!B74)</f>
        <v>Wärme &gt;100 [GWh]</v>
      </c>
      <c r="C74" s="74">
        <f>IF(ISNUMBER('Sankey2050 (GWh original)'!C74),('Sankey2050 (GWh original)'!C74)/277.8,'Sankey2050 (GWh original)'!C74)</f>
        <v>64.99480561555076</v>
      </c>
      <c r="E74" s="3" t="str">
        <f>IF(ISNUMBER('Sankey2050 (GWh original)'!E74),('Sankey2050 (GWh original)'!E74)/277.8,'Sankey2050 (GWh original)'!E74)</f>
        <v>Biomasse</v>
      </c>
      <c r="F74" s="74">
        <f>IF(ISNUMBER('Sankey2050 (GWh original)'!F74),('Sankey2050 (GWh original)'!F74)/277.8,'Sankey2050 (GWh original)'!F74)</f>
        <v>64.99480561555076</v>
      </c>
      <c r="G74">
        <f>IF(ISNUMBER('Sankey2050 (GWh original)'!G74),('Sankey2050 (GWh original)'!G74)/277.8,'Sankey2050 (GWh original)'!G74)</f>
        <v>0</v>
      </c>
      <c r="H74">
        <f>IF(ISNUMBER('Sankey2050 (GWh original)'!H74),('Sankey2050 (GWh original)'!H74)/277.8,'Sankey2050 (GWh original)'!H74)</f>
        <v>0</v>
      </c>
      <c r="I74">
        <f>IF(ISNUMBER('Sankey2050 (GWh original)'!I74),('Sankey2050 (GWh original)'!I74)/277.8,'Sankey2050 (GWh original)'!I74)</f>
        <v>0</v>
      </c>
      <c r="J74">
        <f>IF(ISNUMBER('Sankey2050 (GWh original)'!J74),('Sankey2050 (GWh original)'!J74)/277.8,'Sankey2050 (GWh original)'!J74)</f>
        <v>0</v>
      </c>
      <c r="K74">
        <f>IF(ISNUMBER('Sankey2050 (GWh original)'!K74),('Sankey2050 (GWh original)'!K74)/277.8,'Sankey2050 (GWh original)'!K74)</f>
        <v>0</v>
      </c>
      <c r="L74">
        <f>IF(ISNUMBER('Sankey2050 (GWh original)'!L74),('Sankey2050 (GWh original)'!L74)/277.8,'Sankey2050 (GWh original)'!L74)</f>
        <v>0</v>
      </c>
      <c r="M74">
        <f>IF(ISNUMBER('Sankey2050 (GWh original)'!M74),('Sankey2050 (GWh original)'!M74)/277.8,'Sankey2050 (GWh original)'!M74)</f>
        <v>0</v>
      </c>
      <c r="N74">
        <f>IF(ISNUMBER('Sankey2050 (GWh original)'!N74),('Sankey2050 (GWh original)'!N74)/277.8,'Sankey2050 (GWh original)'!N74)</f>
        <v>0</v>
      </c>
    </row>
    <row r="75" spans="1:18" x14ac:dyDescent="0.25">
      <c r="A75">
        <f>IF(ISNUMBER('Sankey2050 (GWh original)'!A75),('Sankey2050 (GWh original)'!A75)/277.8,'Sankey2050 (GWh original)'!A75)</f>
        <v>0</v>
      </c>
      <c r="B75" s="3" t="str">
        <f>IF(ISNUMBER('Sankey2050 (GWh original)'!B75),('Sankey2050 (GWh original)'!B75)/277.8,'Sankey2050 (GWh original)'!B75)</f>
        <v>Biomasse</v>
      </c>
      <c r="C75" s="74">
        <f>IF(ISNUMBER('Sankey2050 (GWh original)'!C75),('Sankey2050 (GWh original)'!C75)/277.8,'Sankey2050 (GWh original)'!C75)</f>
        <v>64.99480561555076</v>
      </c>
      <c r="E75" s="3" t="str">
        <f>IF(ISNUMBER('Sankey2050 (GWh original)'!E75),('Sankey2050 (GWh original)'!E75)/277.8,'Sankey2050 (GWh original)'!E75)</f>
        <v>Strom</v>
      </c>
      <c r="F75" s="74">
        <f>IF(ISNUMBER('Sankey2050 (GWh original)'!F75),('Sankey2050 (GWh original)'!F75)/277.8,'Sankey2050 (GWh original)'!F75)</f>
        <v>24.99800215982722</v>
      </c>
      <c r="G75">
        <f>IF(ISNUMBER('Sankey2050 (GWh original)'!G75),('Sankey2050 (GWh original)'!G75)/277.8,'Sankey2050 (GWh original)'!G75)</f>
        <v>0</v>
      </c>
      <c r="H75">
        <f>IF(ISNUMBER('Sankey2050 (GWh original)'!H75),('Sankey2050 (GWh original)'!H75)/277.8,'Sankey2050 (GWh original)'!H75)</f>
        <v>0</v>
      </c>
      <c r="I75">
        <f>IF(ISNUMBER('Sankey2050 (GWh original)'!I75),('Sankey2050 (GWh original)'!I75)/277.8,'Sankey2050 (GWh original)'!I75)</f>
        <v>0</v>
      </c>
      <c r="J75">
        <f>IF(ISNUMBER('Sankey2050 (GWh original)'!J75),('Sankey2050 (GWh original)'!J75)/277.8,'Sankey2050 (GWh original)'!J75)</f>
        <v>0</v>
      </c>
      <c r="K75">
        <f>IF(ISNUMBER('Sankey2050 (GWh original)'!K75),('Sankey2050 (GWh original)'!K75)/277.8,'Sankey2050 (GWh original)'!K75)</f>
        <v>0</v>
      </c>
      <c r="L75">
        <f>IF(ISNUMBER('Sankey2050 (GWh original)'!L75),('Sankey2050 (GWh original)'!L75)/277.8,'Sankey2050 (GWh original)'!L75)</f>
        <v>0</v>
      </c>
      <c r="M75">
        <f>IF(ISNUMBER('Sankey2050 (GWh original)'!M75),('Sankey2050 (GWh original)'!M75)/277.8,'Sankey2050 (GWh original)'!M75)</f>
        <v>0</v>
      </c>
      <c r="N75">
        <f>IF(ISNUMBER('Sankey2050 (GWh original)'!N75),('Sankey2050 (GWh original)'!N75)/277.8,'Sankey2050 (GWh original)'!N75)</f>
        <v>0</v>
      </c>
    </row>
    <row r="76" spans="1:18" x14ac:dyDescent="0.25">
      <c r="A76">
        <f>IF(ISNUMBER('Sankey2050 (GWh original)'!A76),('Sankey2050 (GWh original)'!A76)/277.8,'Sankey2050 (GWh original)'!A76)</f>
        <v>0</v>
      </c>
      <c r="B76" s="3" t="str">
        <f>IF(ISNUMBER('Sankey2050 (GWh original)'!B76),('Sankey2050 (GWh original)'!B76)/277.8,'Sankey2050 (GWh original)'!B76)</f>
        <v>Wasserkraft</v>
      </c>
      <c r="C76" s="74">
        <f>IF(ISNUMBER('Sankey2050 (GWh original)'!C76),('Sankey2050 (GWh original)'!C76)/277.8,'Sankey2050 (GWh original)'!C76)</f>
        <v>0</v>
      </c>
      <c r="E76" s="3" t="str">
        <f>IF(ISNUMBER('Sankey2050 (GWh original)'!E76),('Sankey2050 (GWh original)'!E76)/277.8,'Sankey2050 (GWh original)'!E76)</f>
        <v>Gas</v>
      </c>
      <c r="F76" s="74">
        <f>IF(ISNUMBER('Sankey2050 (GWh original)'!F76),('Sankey2050 (GWh original)'!F76)/277.8,'Sankey2050 (GWh original)'!F76)</f>
        <v>45.996331580723549</v>
      </c>
      <c r="G76">
        <f>IF(ISNUMBER('Sankey2050 (GWh original)'!G76),('Sankey2050 (GWh original)'!G76)/277.8,'Sankey2050 (GWh original)'!G76)</f>
        <v>0</v>
      </c>
      <c r="H76">
        <f>IF(ISNUMBER('Sankey2050 (GWh original)'!H76),('Sankey2050 (GWh original)'!H76)/277.8,'Sankey2050 (GWh original)'!H76)</f>
        <v>0</v>
      </c>
      <c r="I76">
        <f>IF(ISNUMBER('Sankey2050 (GWh original)'!I76),('Sankey2050 (GWh original)'!I76)/277.8,'Sankey2050 (GWh original)'!I76)</f>
        <v>0</v>
      </c>
      <c r="J76">
        <f>IF(ISNUMBER('Sankey2050 (GWh original)'!J76),('Sankey2050 (GWh original)'!J76)/277.8,'Sankey2050 (GWh original)'!J76)</f>
        <v>0</v>
      </c>
      <c r="K76">
        <f>IF(ISNUMBER('Sankey2050 (GWh original)'!K76),('Sankey2050 (GWh original)'!K76)/277.8,'Sankey2050 (GWh original)'!K76)</f>
        <v>0</v>
      </c>
      <c r="L76">
        <f>IF(ISNUMBER('Sankey2050 (GWh original)'!L76),('Sankey2050 (GWh original)'!L76)/277.8,'Sankey2050 (GWh original)'!L76)</f>
        <v>0</v>
      </c>
      <c r="M76">
        <f>IF(ISNUMBER('Sankey2050 (GWh original)'!M76),('Sankey2050 (GWh original)'!M76)/277.8,'Sankey2050 (GWh original)'!M76)</f>
        <v>0</v>
      </c>
      <c r="N76">
        <f>IF(ISNUMBER('Sankey2050 (GWh original)'!N76),('Sankey2050 (GWh original)'!N76)/277.8,'Sankey2050 (GWh original)'!N76)</f>
        <v>0</v>
      </c>
    </row>
    <row r="77" spans="1:18" x14ac:dyDescent="0.25">
      <c r="A77">
        <f>IF(ISNUMBER('Sankey2050 (GWh original)'!A77),('Sankey2050 (GWh original)'!A77)/277.8,'Sankey2050 (GWh original)'!A77)</f>
        <v>0</v>
      </c>
      <c r="B77" s="3" t="str">
        <f>IF(ISNUMBER('Sankey2050 (GWh original)'!B77),('Sankey2050 (GWh original)'!B77)/277.8,'Sankey2050 (GWh original)'!B77)</f>
        <v>Windenergie</v>
      </c>
      <c r="C77" s="74">
        <f>IF(ISNUMBER('Sankey2050 (GWh original)'!C77),('Sankey2050 (GWh original)'!C77)/277.8,'Sankey2050 (GWh original)'!C77)</f>
        <v>0</v>
      </c>
      <c r="E77">
        <f>IF(ISNUMBER('Sankey2050 (GWh original)'!E77),('Sankey2050 (GWh original)'!E77)/277.8,'Sankey2050 (GWh original)'!E77)</f>
        <v>0</v>
      </c>
      <c r="F77" s="76">
        <f>IF(ISNUMBER('Sankey2050 (GWh original)'!F77),('Sankey2050 (GWh original)'!F77)/277.8,'Sankey2050 (GWh original)'!F77)</f>
        <v>135.98913935610153</v>
      </c>
      <c r="G77" s="1">
        <f>IF(ISNUMBER('Sankey2050 (GWh original)'!G77),('Sankey2050 (GWh original)'!G77)/277.8,'Sankey2050 (GWh original)'!G77)</f>
        <v>0</v>
      </c>
      <c r="H77" s="1">
        <f>IF(ISNUMBER('Sankey2050 (GWh original)'!H77),('Sankey2050 (GWh original)'!H77)/277.8,'Sankey2050 (GWh original)'!H77)</f>
        <v>0</v>
      </c>
      <c r="I77" s="1">
        <f>IF(ISNUMBER('Sankey2050 (GWh original)'!I77),('Sankey2050 (GWh original)'!I77)/277.8,'Sankey2050 (GWh original)'!I77)</f>
        <v>0</v>
      </c>
      <c r="J77" s="1">
        <f>IF(ISNUMBER('Sankey2050 (GWh original)'!J77),('Sankey2050 (GWh original)'!J77)/277.8,'Sankey2050 (GWh original)'!J77)</f>
        <v>0</v>
      </c>
      <c r="K77" s="1">
        <f>IF(ISNUMBER('Sankey2050 (GWh original)'!K77),('Sankey2050 (GWh original)'!K77)/277.8,'Sankey2050 (GWh original)'!K77)</f>
        <v>0</v>
      </c>
      <c r="L77" s="1">
        <f>IF(ISNUMBER('Sankey2050 (GWh original)'!L77),('Sankey2050 (GWh original)'!L77)/277.8,'Sankey2050 (GWh original)'!L77)</f>
        <v>0</v>
      </c>
      <c r="M77" s="1">
        <f>IF(ISNUMBER('Sankey2050 (GWh original)'!M77),('Sankey2050 (GWh original)'!M77)/277.8,'Sankey2050 (GWh original)'!M77)</f>
        <v>0</v>
      </c>
      <c r="N77" s="1">
        <f>IF(ISNUMBER('Sankey2050 (GWh original)'!N77),('Sankey2050 (GWh original)'!N77)/277.8,'Sankey2050 (GWh original)'!N77)</f>
        <v>0</v>
      </c>
      <c r="O77" s="57"/>
      <c r="P77" s="1"/>
      <c r="Q77" s="1"/>
      <c r="R77" s="1"/>
    </row>
    <row r="78" spans="1:18" x14ac:dyDescent="0.25">
      <c r="A78">
        <f>IF(ISNUMBER('Sankey2050 (GWh original)'!A78),('Sankey2050 (GWh original)'!A78)/277.8,'Sankey2050 (GWh original)'!A78)</f>
        <v>0</v>
      </c>
      <c r="B78" s="14" t="str">
        <f>IF(ISNUMBER('Sankey2050 (GWh original)'!B78),('Sankey2050 (GWh original)'!B78)/277.8,'Sankey2050 (GWh original)'!B78)</f>
        <v>Summe</v>
      </c>
      <c r="C78" s="44">
        <f>IF(ISNUMBER('Sankey2050 (GWh original)'!C78),('Sankey2050 (GWh original)'!C78)/277.8,'Sankey2050 (GWh original)'!C78)</f>
        <v>64.99480561555076</v>
      </c>
      <c r="E78" s="3" t="str">
        <f>IF(ISNUMBER('Sankey2050 (GWh original)'!E78),('Sankey2050 (GWh original)'!E78)/277.8,'Sankey2050 (GWh original)'!E78)</f>
        <v>Output</v>
      </c>
      <c r="F78" s="74">
        <f>IF(ISNUMBER('Sankey2050 (GWh original)'!F78),('Sankey2050 (GWh original)'!F78)/277.8,'Sankey2050 (GWh original)'!F78)</f>
        <v>128.98969114470844</v>
      </c>
      <c r="G78">
        <f>IF(ISNUMBER('Sankey2050 (GWh original)'!G78),('Sankey2050 (GWh original)'!G78)/277.8,'Sankey2050 (GWh original)'!G78)</f>
        <v>0</v>
      </c>
      <c r="H78">
        <f>IF(ISNUMBER('Sankey2050 (GWh original)'!H78),('Sankey2050 (GWh original)'!H78)/277.8,'Sankey2050 (GWh original)'!H78)</f>
        <v>0</v>
      </c>
      <c r="I78">
        <f>IF(ISNUMBER('Sankey2050 (GWh original)'!I78),('Sankey2050 (GWh original)'!I78)/277.8,'Sankey2050 (GWh original)'!I78)</f>
        <v>0</v>
      </c>
      <c r="J78">
        <f>IF(ISNUMBER('Sankey2050 (GWh original)'!J78),('Sankey2050 (GWh original)'!J78)/277.8,'Sankey2050 (GWh original)'!J78)</f>
        <v>0</v>
      </c>
      <c r="K78">
        <f>IF(ISNUMBER('Sankey2050 (GWh original)'!K78),('Sankey2050 (GWh original)'!K78)/277.8,'Sankey2050 (GWh original)'!K78)</f>
        <v>0</v>
      </c>
      <c r="L78">
        <f>IF(ISNUMBER('Sankey2050 (GWh original)'!L78),('Sankey2050 (GWh original)'!L78)/277.8,'Sankey2050 (GWh original)'!L78)</f>
        <v>0</v>
      </c>
      <c r="M78">
        <f>IF(ISNUMBER('Sankey2050 (GWh original)'!M78),('Sankey2050 (GWh original)'!M78)/277.8,'Sankey2050 (GWh original)'!M78)</f>
        <v>0</v>
      </c>
      <c r="N78">
        <f>IF(ISNUMBER('Sankey2050 (GWh original)'!N78),('Sankey2050 (GWh original)'!N78)/277.8,'Sankey2050 (GWh original)'!N78)</f>
        <v>0</v>
      </c>
    </row>
    <row r="79" spans="1:18" x14ac:dyDescent="0.25">
      <c r="A79">
        <f>IF(ISNUMBER('Sankey2050 (GWh original)'!A79),('Sankey2050 (GWh original)'!A79)/277.8,'Sankey2050 (GWh original)'!A79)</f>
        <v>0</v>
      </c>
      <c r="B79" s="3" t="str">
        <f>IF(ISNUMBER('Sankey2050 (GWh original)'!B79),('Sankey2050 (GWh original)'!B79)/277.8,'Sankey2050 (GWh original)'!B79)</f>
        <v>Photovoltaik</v>
      </c>
      <c r="C79" s="74">
        <f>IF(ISNUMBER('Sankey2050 (GWh original)'!C79),('Sankey2050 (GWh original)'!C79)/277.8,'Sankey2050 (GWh original)'!C79)</f>
        <v>0</v>
      </c>
      <c r="E79" s="22" t="str">
        <f>IF(ISNUMBER('Sankey2050 (GWh original)'!E79),('Sankey2050 (GWh original)'!E79)/277.8,'Sankey2050 (GWh original)'!E79)</f>
        <v>Verluste</v>
      </c>
      <c r="F79" s="74">
        <f>IF(ISNUMBER('Sankey2050 (GWh original)'!F79),('Sankey2050 (GWh original)'!F79)/277.8,'Sankey2050 (GWh original)'!F79)</f>
        <v>6.9994482113930827</v>
      </c>
      <c r="G79">
        <f>IF(ISNUMBER('Sankey2050 (GWh original)'!G79),('Sankey2050 (GWh original)'!G79)/277.8,'Sankey2050 (GWh original)'!G79)</f>
        <v>0</v>
      </c>
      <c r="H79">
        <f>IF(ISNUMBER('Sankey2050 (GWh original)'!H79),('Sankey2050 (GWh original)'!H79)/277.8,'Sankey2050 (GWh original)'!H79)</f>
        <v>0</v>
      </c>
      <c r="I79">
        <f>IF(ISNUMBER('Sankey2050 (GWh original)'!I79),('Sankey2050 (GWh original)'!I79)/277.8,'Sankey2050 (GWh original)'!I79)</f>
        <v>0</v>
      </c>
      <c r="J79">
        <f>IF(ISNUMBER('Sankey2050 (GWh original)'!J79),('Sankey2050 (GWh original)'!J79)/277.8,'Sankey2050 (GWh original)'!J79)</f>
        <v>0</v>
      </c>
      <c r="K79">
        <f>IF(ISNUMBER('Sankey2050 (GWh original)'!K79),('Sankey2050 (GWh original)'!K79)/277.8,'Sankey2050 (GWh original)'!K79)</f>
        <v>0</v>
      </c>
      <c r="L79">
        <f>IF(ISNUMBER('Sankey2050 (GWh original)'!L79),('Sankey2050 (GWh original)'!L79)/277.8,'Sankey2050 (GWh original)'!L79)</f>
        <v>0</v>
      </c>
      <c r="M79">
        <f>IF(ISNUMBER('Sankey2050 (GWh original)'!M79),('Sankey2050 (GWh original)'!M79)/277.8,'Sankey2050 (GWh original)'!M79)</f>
        <v>0</v>
      </c>
      <c r="N79">
        <f>IF(ISNUMBER('Sankey2050 (GWh original)'!N79),('Sankey2050 (GWh original)'!N79)/277.8,'Sankey2050 (GWh original)'!N79)</f>
        <v>0</v>
      </c>
    </row>
    <row r="80" spans="1:18" x14ac:dyDescent="0.25">
      <c r="A80">
        <f>IF(ISNUMBER('Sankey2050 (GWh original)'!A80),('Sankey2050 (GWh original)'!A80)/277.8,'Sankey2050 (GWh original)'!A80)</f>
        <v>0</v>
      </c>
      <c r="B80" s="3" t="str">
        <f>IF(ISNUMBER('Sankey2050 (GWh original)'!B80),('Sankey2050 (GWh original)'!B80)/277.8,'Sankey2050 (GWh original)'!B80)</f>
        <v>Solarthermie</v>
      </c>
      <c r="C80" s="74">
        <f>IF(ISNUMBER('Sankey2050 (GWh original)'!C80),('Sankey2050 (GWh original)'!C80)/277.8,'Sankey2050 (GWh original)'!C80)</f>
        <v>0</v>
      </c>
      <c r="E80">
        <f>IF(ISNUMBER('Sankey2050 (GWh original)'!E80),('Sankey2050 (GWh original)'!E80)/277.8,'Sankey2050 (GWh original)'!E80)</f>
        <v>0</v>
      </c>
      <c r="F80">
        <f>IF(ISNUMBER('Sankey2050 (GWh original)'!F80),('Sankey2050 (GWh original)'!F80)/277.8,'Sankey2050 (GWh original)'!F80)</f>
        <v>0</v>
      </c>
      <c r="G80">
        <f>IF(ISNUMBER('Sankey2050 (GWh original)'!G80),('Sankey2050 (GWh original)'!G80)/277.8,'Sankey2050 (GWh original)'!G80)</f>
        <v>0</v>
      </c>
      <c r="H80">
        <f>IF(ISNUMBER('Sankey2050 (GWh original)'!H80),('Sankey2050 (GWh original)'!H80)/277.8,'Sankey2050 (GWh original)'!H80)</f>
        <v>0</v>
      </c>
      <c r="I80">
        <f>IF(ISNUMBER('Sankey2050 (GWh original)'!I80),('Sankey2050 (GWh original)'!I80)/277.8,'Sankey2050 (GWh original)'!I80)</f>
        <v>0</v>
      </c>
      <c r="J80">
        <f>IF(ISNUMBER('Sankey2050 (GWh original)'!J80),('Sankey2050 (GWh original)'!J80)/277.8,'Sankey2050 (GWh original)'!J80)</f>
        <v>0</v>
      </c>
      <c r="K80">
        <f>IF(ISNUMBER('Sankey2050 (GWh original)'!K80),('Sankey2050 (GWh original)'!K80)/277.8,'Sankey2050 (GWh original)'!K80)</f>
        <v>0</v>
      </c>
      <c r="L80">
        <f>IF(ISNUMBER('Sankey2050 (GWh original)'!L80),('Sankey2050 (GWh original)'!L80)/277.8,'Sankey2050 (GWh original)'!L80)</f>
        <v>0</v>
      </c>
      <c r="M80">
        <f>IF(ISNUMBER('Sankey2050 (GWh original)'!M80),('Sankey2050 (GWh original)'!M80)/277.8,'Sankey2050 (GWh original)'!M80)</f>
        <v>0</v>
      </c>
      <c r="N80">
        <f>IF(ISNUMBER('Sankey2050 (GWh original)'!N80),('Sankey2050 (GWh original)'!N80)/277.8,'Sankey2050 (GWh original)'!N80)</f>
        <v>0</v>
      </c>
    </row>
    <row r="81" spans="1:18" x14ac:dyDescent="0.25">
      <c r="A81">
        <f>IF(ISNUMBER('Sankey2050 (GWh original)'!A81),('Sankey2050 (GWh original)'!A81)/277.8,'Sankey2050 (GWh original)'!A81)</f>
        <v>0</v>
      </c>
      <c r="B81" s="3" t="str">
        <f>IF(ISNUMBER('Sankey2050 (GWh original)'!B81),('Sankey2050 (GWh original)'!B81)/277.8,'Sankey2050 (GWh original)'!B81)</f>
        <v>Oberflächennahe Umweltwärme</v>
      </c>
      <c r="C81" s="74">
        <f>IF(ISNUMBER('Sankey2050 (GWh original)'!C81),('Sankey2050 (GWh original)'!C81)/277.8,'Sankey2050 (GWh original)'!C81)</f>
        <v>0</v>
      </c>
      <c r="E81">
        <f>IF(ISNUMBER('Sankey2050 (GWh original)'!E81),('Sankey2050 (GWh original)'!E81)/277.8,'Sankey2050 (GWh original)'!E81)</f>
        <v>0</v>
      </c>
      <c r="F81">
        <f>IF(ISNUMBER('Sankey2050 (GWh original)'!F81),('Sankey2050 (GWh original)'!F81)/277.8,'Sankey2050 (GWh original)'!F81)</f>
        <v>0</v>
      </c>
      <c r="G81">
        <f>IF(ISNUMBER('Sankey2050 (GWh original)'!G81),('Sankey2050 (GWh original)'!G81)/277.8,'Sankey2050 (GWh original)'!G81)</f>
        <v>0</v>
      </c>
      <c r="H81">
        <f>IF(ISNUMBER('Sankey2050 (GWh original)'!H81),('Sankey2050 (GWh original)'!H81)/277.8,'Sankey2050 (GWh original)'!H81)</f>
        <v>0</v>
      </c>
      <c r="I81">
        <f>IF(ISNUMBER('Sankey2050 (GWh original)'!I81),('Sankey2050 (GWh original)'!I81)/277.8,'Sankey2050 (GWh original)'!I81)</f>
        <v>0</v>
      </c>
      <c r="J81">
        <f>IF(ISNUMBER('Sankey2050 (GWh original)'!J81),('Sankey2050 (GWh original)'!J81)/277.8,'Sankey2050 (GWh original)'!J81)</f>
        <v>0</v>
      </c>
      <c r="K81">
        <f>IF(ISNUMBER('Sankey2050 (GWh original)'!K81),('Sankey2050 (GWh original)'!K81)/277.8,'Sankey2050 (GWh original)'!K81)</f>
        <v>0</v>
      </c>
      <c r="L81">
        <f>IF(ISNUMBER('Sankey2050 (GWh original)'!L81),('Sankey2050 (GWh original)'!L81)/277.8,'Sankey2050 (GWh original)'!L81)</f>
        <v>0</v>
      </c>
      <c r="M81">
        <f>IF(ISNUMBER('Sankey2050 (GWh original)'!M81),('Sankey2050 (GWh original)'!M81)/277.8,'Sankey2050 (GWh original)'!M81)</f>
        <v>0</v>
      </c>
      <c r="N81">
        <f>IF(ISNUMBER('Sankey2050 (GWh original)'!N81),('Sankey2050 (GWh original)'!N81)/277.8,'Sankey2050 (GWh original)'!N81)</f>
        <v>0</v>
      </c>
    </row>
    <row r="82" spans="1:18" x14ac:dyDescent="0.25">
      <c r="A82">
        <f>IF(ISNUMBER('Sankey2050 (GWh original)'!A82),('Sankey2050 (GWh original)'!A82)/277.8,'Sankey2050 (GWh original)'!A82)</f>
        <v>0</v>
      </c>
      <c r="B82" s="14" t="str">
        <f>IF(ISNUMBER('Sankey2050 (GWh original)'!B82),('Sankey2050 (GWh original)'!B82)/277.8,'Sankey2050 (GWh original)'!B82)</f>
        <v>Summe</v>
      </c>
      <c r="C82" s="44">
        <f>IF(ISNUMBER('Sankey2050 (GWh original)'!C82),('Sankey2050 (GWh original)'!C82)/277.8,'Sankey2050 (GWh original)'!C82)</f>
        <v>0</v>
      </c>
      <c r="E82">
        <f>IF(ISNUMBER('Sankey2050 (GWh original)'!E82),('Sankey2050 (GWh original)'!E82)/277.8,'Sankey2050 (GWh original)'!E82)</f>
        <v>0</v>
      </c>
      <c r="F82">
        <f>IF(ISNUMBER('Sankey2050 (GWh original)'!F82),('Sankey2050 (GWh original)'!F82)/277.8,'Sankey2050 (GWh original)'!F82)</f>
        <v>0</v>
      </c>
      <c r="G82">
        <f>IF(ISNUMBER('Sankey2050 (GWh original)'!G82),('Sankey2050 (GWh original)'!G82)/277.8,'Sankey2050 (GWh original)'!G82)</f>
        <v>0</v>
      </c>
      <c r="H82">
        <f>IF(ISNUMBER('Sankey2050 (GWh original)'!H82),('Sankey2050 (GWh original)'!H82)/277.8,'Sankey2050 (GWh original)'!H82)</f>
        <v>0</v>
      </c>
      <c r="I82">
        <f>IF(ISNUMBER('Sankey2050 (GWh original)'!I82),('Sankey2050 (GWh original)'!I82)/277.8,'Sankey2050 (GWh original)'!I82)</f>
        <v>0</v>
      </c>
      <c r="J82">
        <f>IF(ISNUMBER('Sankey2050 (GWh original)'!J82),('Sankey2050 (GWh original)'!J82)/277.8,'Sankey2050 (GWh original)'!J82)</f>
        <v>0</v>
      </c>
      <c r="K82">
        <f>IF(ISNUMBER('Sankey2050 (GWh original)'!K82),('Sankey2050 (GWh original)'!K82)/277.8,'Sankey2050 (GWh original)'!K82)</f>
        <v>0</v>
      </c>
      <c r="L82">
        <f>IF(ISNUMBER('Sankey2050 (GWh original)'!L82),('Sankey2050 (GWh original)'!L82)/277.8,'Sankey2050 (GWh original)'!L82)</f>
        <v>0</v>
      </c>
      <c r="M82">
        <f>IF(ISNUMBER('Sankey2050 (GWh original)'!M82),('Sankey2050 (GWh original)'!M82)/277.8,'Sankey2050 (GWh original)'!M82)</f>
        <v>0</v>
      </c>
      <c r="N82">
        <f>IF(ISNUMBER('Sankey2050 (GWh original)'!N82),('Sankey2050 (GWh original)'!N82)/277.8,'Sankey2050 (GWh original)'!N82)</f>
        <v>0</v>
      </c>
    </row>
    <row r="83" spans="1:18" x14ac:dyDescent="0.25">
      <c r="A83">
        <f>IF(ISNUMBER('Sankey2050 (GWh original)'!A83),('Sankey2050 (GWh original)'!A83)/277.8,'Sankey2050 (GWh original)'!A83)</f>
        <v>0</v>
      </c>
      <c r="B83" s="16" t="str">
        <f>IF(ISNUMBER('Sankey2050 (GWh original)'!B83),('Sankey2050 (GWh original)'!B83)/277.8,'Sankey2050 (GWh original)'!B83)</f>
        <v>Gesamtsumme</v>
      </c>
      <c r="C83" s="45">
        <f>IF(ISNUMBER('Sankey2050 (GWh original)'!C83),('Sankey2050 (GWh original)'!C83)/277.8,'Sankey2050 (GWh original)'!C83)</f>
        <v>64.99480561555076</v>
      </c>
      <c r="E83">
        <f>IF(ISNUMBER('Sankey2050 (GWh original)'!E83),('Sankey2050 (GWh original)'!E83)/277.8,'Sankey2050 (GWh original)'!E83)</f>
        <v>0</v>
      </c>
      <c r="F83">
        <f>IF(ISNUMBER('Sankey2050 (GWh original)'!F83),('Sankey2050 (GWh original)'!F83)/277.8,'Sankey2050 (GWh original)'!F83)</f>
        <v>0</v>
      </c>
      <c r="G83">
        <f>IF(ISNUMBER('Sankey2050 (GWh original)'!G83),('Sankey2050 (GWh original)'!G83)/277.8,'Sankey2050 (GWh original)'!G83)</f>
        <v>0</v>
      </c>
      <c r="H83">
        <f>IF(ISNUMBER('Sankey2050 (GWh original)'!H83),('Sankey2050 (GWh original)'!H83)/277.8,'Sankey2050 (GWh original)'!H83)</f>
        <v>0</v>
      </c>
      <c r="I83">
        <f>IF(ISNUMBER('Sankey2050 (GWh original)'!I83),('Sankey2050 (GWh original)'!I83)/277.8,'Sankey2050 (GWh original)'!I83)</f>
        <v>0</v>
      </c>
      <c r="J83">
        <f>IF(ISNUMBER('Sankey2050 (GWh original)'!J83),('Sankey2050 (GWh original)'!J83)/277.8,'Sankey2050 (GWh original)'!J83)</f>
        <v>0</v>
      </c>
      <c r="K83">
        <f>IF(ISNUMBER('Sankey2050 (GWh original)'!K83),('Sankey2050 (GWh original)'!K83)/277.8,'Sankey2050 (GWh original)'!K83)</f>
        <v>0</v>
      </c>
      <c r="L83">
        <f>IF(ISNUMBER('Sankey2050 (GWh original)'!L83),('Sankey2050 (GWh original)'!L83)/277.8,'Sankey2050 (GWh original)'!L83)</f>
        <v>0</v>
      </c>
      <c r="M83">
        <f>IF(ISNUMBER('Sankey2050 (GWh original)'!M83),('Sankey2050 (GWh original)'!M83)/277.8,'Sankey2050 (GWh original)'!M83)</f>
        <v>0</v>
      </c>
      <c r="N83">
        <f>IF(ISNUMBER('Sankey2050 (GWh original)'!N83),('Sankey2050 (GWh original)'!N83)/277.8,'Sankey2050 (GWh original)'!N83)</f>
        <v>0</v>
      </c>
    </row>
    <row r="84" spans="1:18" x14ac:dyDescent="0.25">
      <c r="A84">
        <f>IF(ISNUMBER('Sankey2050 (GWh original)'!A84),('Sankey2050 (GWh original)'!A84)/277.8,'Sankey2050 (GWh original)'!A84)</f>
        <v>0</v>
      </c>
      <c r="B84">
        <f>IF(ISNUMBER('Sankey2050 (GWh original)'!B84),('Sankey2050 (GWh original)'!B84)/277.8,'Sankey2050 (GWh original)'!B84)</f>
        <v>0</v>
      </c>
      <c r="C84">
        <f>IF(ISNUMBER('Sankey2050 (GWh original)'!C84),('Sankey2050 (GWh original)'!C84)/277.8,'Sankey2050 (GWh original)'!C84)</f>
        <v>0</v>
      </c>
      <c r="E84">
        <f>IF(ISNUMBER('Sankey2050 (GWh original)'!E84),('Sankey2050 (GWh original)'!E84)/277.8,'Sankey2050 (GWh original)'!E84)</f>
        <v>0</v>
      </c>
      <c r="F84">
        <f>IF(ISNUMBER('Sankey2050 (GWh original)'!F84),('Sankey2050 (GWh original)'!F84)/277.8,'Sankey2050 (GWh original)'!F84)</f>
        <v>0</v>
      </c>
      <c r="G84">
        <f>IF(ISNUMBER('Sankey2050 (GWh original)'!G84),('Sankey2050 (GWh original)'!G84)/277.8,'Sankey2050 (GWh original)'!G84)</f>
        <v>0</v>
      </c>
      <c r="H84">
        <f>IF(ISNUMBER('Sankey2050 (GWh original)'!H84),('Sankey2050 (GWh original)'!H84)/277.8,'Sankey2050 (GWh original)'!H84)</f>
        <v>0</v>
      </c>
      <c r="I84">
        <f>IF(ISNUMBER('Sankey2050 (GWh original)'!I84),('Sankey2050 (GWh original)'!I84)/277.8,'Sankey2050 (GWh original)'!I84)</f>
        <v>0</v>
      </c>
      <c r="J84">
        <f>IF(ISNUMBER('Sankey2050 (GWh original)'!J84),('Sankey2050 (GWh original)'!J84)/277.8,'Sankey2050 (GWh original)'!J84)</f>
        <v>0</v>
      </c>
      <c r="K84">
        <f>IF(ISNUMBER('Sankey2050 (GWh original)'!K84),('Sankey2050 (GWh original)'!K84)/277.8,'Sankey2050 (GWh original)'!K84)</f>
        <v>0</v>
      </c>
      <c r="L84">
        <f>IF(ISNUMBER('Sankey2050 (GWh original)'!L84),('Sankey2050 (GWh original)'!L84)/277.8,'Sankey2050 (GWh original)'!L84)</f>
        <v>0</v>
      </c>
      <c r="M84">
        <f>IF(ISNUMBER('Sankey2050 (GWh original)'!M84),('Sankey2050 (GWh original)'!M84)/277.8,'Sankey2050 (GWh original)'!M84)</f>
        <v>0</v>
      </c>
      <c r="N84">
        <f>IF(ISNUMBER('Sankey2050 (GWh original)'!N84),('Sankey2050 (GWh original)'!N84)/277.8,'Sankey2050 (GWh original)'!N84)</f>
        <v>0</v>
      </c>
    </row>
    <row r="85" spans="1:18" x14ac:dyDescent="0.25">
      <c r="A85">
        <f>IF(ISNUMBER('Sankey2050 (GWh original)'!A85),('Sankey2050 (GWh original)'!A85)/277.8,'Sankey2050 (GWh original)'!A85)</f>
        <v>0</v>
      </c>
      <c r="B85">
        <f>IF(ISNUMBER('Sankey2050 (GWh original)'!B85),('Sankey2050 (GWh original)'!B85)/277.8,'Sankey2050 (GWh original)'!B85)</f>
        <v>0</v>
      </c>
      <c r="C85">
        <f>IF(ISNUMBER('Sankey2050 (GWh original)'!C85),('Sankey2050 (GWh original)'!C85)/277.8,'Sankey2050 (GWh original)'!C85)</f>
        <v>0</v>
      </c>
      <c r="E85">
        <f>IF(ISNUMBER('Sankey2050 (GWh original)'!E85),('Sankey2050 (GWh original)'!E85)/277.8,'Sankey2050 (GWh original)'!E85)</f>
        <v>0</v>
      </c>
      <c r="F85">
        <f>IF(ISNUMBER('Sankey2050 (GWh original)'!F85),('Sankey2050 (GWh original)'!F85)/277.8,'Sankey2050 (GWh original)'!F85)</f>
        <v>0</v>
      </c>
      <c r="G85">
        <f>IF(ISNUMBER('Sankey2050 (GWh original)'!G85),('Sankey2050 (GWh original)'!G85)/277.8,'Sankey2050 (GWh original)'!G85)</f>
        <v>0</v>
      </c>
      <c r="H85">
        <f>IF(ISNUMBER('Sankey2050 (GWh original)'!H85),('Sankey2050 (GWh original)'!H85)/277.8,'Sankey2050 (GWh original)'!H85)</f>
        <v>0</v>
      </c>
      <c r="I85">
        <f>IF(ISNUMBER('Sankey2050 (GWh original)'!I85),('Sankey2050 (GWh original)'!I85)/277.8,'Sankey2050 (GWh original)'!I85)</f>
        <v>0</v>
      </c>
      <c r="J85">
        <f>IF(ISNUMBER('Sankey2050 (GWh original)'!J85),('Sankey2050 (GWh original)'!J85)/277.8,'Sankey2050 (GWh original)'!J85)</f>
        <v>0</v>
      </c>
      <c r="K85">
        <f>IF(ISNUMBER('Sankey2050 (GWh original)'!K85),('Sankey2050 (GWh original)'!K85)/277.8,'Sankey2050 (GWh original)'!K85)</f>
        <v>0</v>
      </c>
      <c r="L85">
        <f>IF(ISNUMBER('Sankey2050 (GWh original)'!L85),('Sankey2050 (GWh original)'!L85)/277.8,'Sankey2050 (GWh original)'!L85)</f>
        <v>0</v>
      </c>
      <c r="M85">
        <f>IF(ISNUMBER('Sankey2050 (GWh original)'!M85),('Sankey2050 (GWh original)'!M85)/277.8,'Sankey2050 (GWh original)'!M85)</f>
        <v>0</v>
      </c>
      <c r="N85">
        <f>IF(ISNUMBER('Sankey2050 (GWh original)'!N85),('Sankey2050 (GWh original)'!N85)/277.8,'Sankey2050 (GWh original)'!N85)</f>
        <v>0</v>
      </c>
    </row>
    <row r="86" spans="1:18" x14ac:dyDescent="0.25">
      <c r="A86">
        <f>IF(ISNUMBER('Sankey2050 (GWh original)'!A86),('Sankey2050 (GWh original)'!A86)/277.8,'Sankey2050 (GWh original)'!A86)</f>
        <v>0</v>
      </c>
      <c r="B86" s="29" t="str">
        <f>IF(ISNUMBER('Sankey2050 (GWh original)'!B86),('Sankey2050 (GWh original)'!B86)/277.8,'Sankey2050 (GWh original)'!B86)</f>
        <v>Gas gesamt</v>
      </c>
      <c r="C86" s="30">
        <f>IF(ISNUMBER('Sankey2050 (GWh original)'!C86),('Sankey2050 (GWh original)'!C86)/277.8,'Sankey2050 (GWh original)'!C86)</f>
        <v>63.994885529157671</v>
      </c>
      <c r="E86">
        <f>IF(ISNUMBER('Sankey2050 (GWh original)'!E86),('Sankey2050 (GWh original)'!E86)/277.8,'Sankey2050 (GWh original)'!E86)</f>
        <v>0</v>
      </c>
      <c r="F86">
        <f>IF(ISNUMBER('Sankey2050 (GWh original)'!F86),('Sankey2050 (GWh original)'!F86)/277.8,'Sankey2050 (GWh original)'!F86)</f>
        <v>0</v>
      </c>
      <c r="G86">
        <f>IF(ISNUMBER('Sankey2050 (GWh original)'!G86),('Sankey2050 (GWh original)'!G86)/277.8,'Sankey2050 (GWh original)'!G86)</f>
        <v>0</v>
      </c>
      <c r="H86">
        <f>IF(ISNUMBER('Sankey2050 (GWh original)'!H86),('Sankey2050 (GWh original)'!H86)/277.8,'Sankey2050 (GWh original)'!H86)</f>
        <v>0</v>
      </c>
      <c r="I86">
        <f>IF(ISNUMBER('Sankey2050 (GWh original)'!I86),('Sankey2050 (GWh original)'!I86)/277.8,'Sankey2050 (GWh original)'!I86)</f>
        <v>0</v>
      </c>
      <c r="J86">
        <f>IF(ISNUMBER('Sankey2050 (GWh original)'!J86),('Sankey2050 (GWh original)'!J86)/277.8,'Sankey2050 (GWh original)'!J86)</f>
        <v>0</v>
      </c>
      <c r="K86">
        <f>IF(ISNUMBER('Sankey2050 (GWh original)'!K86),('Sankey2050 (GWh original)'!K86)/277.8,'Sankey2050 (GWh original)'!K86)</f>
        <v>0</v>
      </c>
      <c r="L86">
        <f>IF(ISNUMBER('Sankey2050 (GWh original)'!L86),('Sankey2050 (GWh original)'!L86)/277.8,'Sankey2050 (GWh original)'!L86)</f>
        <v>0</v>
      </c>
      <c r="M86">
        <f>IF(ISNUMBER('Sankey2050 (GWh original)'!M86),('Sankey2050 (GWh original)'!M86)/277.8,'Sankey2050 (GWh original)'!M86)</f>
        <v>0</v>
      </c>
      <c r="N86">
        <f>IF(ISNUMBER('Sankey2050 (GWh original)'!N86),('Sankey2050 (GWh original)'!N86)/277.8,'Sankey2050 (GWh original)'!N86)</f>
        <v>0</v>
      </c>
    </row>
    <row r="87" spans="1:18" x14ac:dyDescent="0.25">
      <c r="A87">
        <f>IF(ISNUMBER('Sankey2050 (GWh original)'!A87),('Sankey2050 (GWh original)'!A87)/277.8,'Sankey2050 (GWh original)'!A87)</f>
        <v>0</v>
      </c>
      <c r="B87" s="3" t="str">
        <f>IF(ISNUMBER('Sankey2050 (GWh original)'!B87),('Sankey2050 (GWh original)'!B87)/277.8,'Sankey2050 (GWh original)'!B87)</f>
        <v>Biomasse</v>
      </c>
      <c r="C87" s="88">
        <f>IF(ISNUMBER('Sankey2050 (GWh original)'!C87),('Sankey2050 (GWh original)'!C87)/277.8,'Sankey2050 (GWh original)'!C87)</f>
        <v>14.6988252699784</v>
      </c>
      <c r="E87">
        <f>IF(ISNUMBER('Sankey2050 (GWh original)'!E87),('Sankey2050 (GWh original)'!E87)/277.8,'Sankey2050 (GWh original)'!E87)</f>
        <v>0</v>
      </c>
      <c r="F87">
        <f>IF(ISNUMBER('Sankey2050 (GWh original)'!F87),('Sankey2050 (GWh original)'!F87)/277.8,'Sankey2050 (GWh original)'!F87)</f>
        <v>0</v>
      </c>
      <c r="G87">
        <f>IF(ISNUMBER('Sankey2050 (GWh original)'!G87),('Sankey2050 (GWh original)'!G87)/277.8,'Sankey2050 (GWh original)'!G87)</f>
        <v>0</v>
      </c>
      <c r="H87">
        <f>IF(ISNUMBER('Sankey2050 (GWh original)'!H87),('Sankey2050 (GWh original)'!H87)/277.8,'Sankey2050 (GWh original)'!H87)</f>
        <v>0</v>
      </c>
      <c r="I87">
        <f>IF(ISNUMBER('Sankey2050 (GWh original)'!I87),('Sankey2050 (GWh original)'!I87)/277.8,'Sankey2050 (GWh original)'!I87)</f>
        <v>0</v>
      </c>
      <c r="J87">
        <f>IF(ISNUMBER('Sankey2050 (GWh original)'!J87),('Sankey2050 (GWh original)'!J87)/277.8,'Sankey2050 (GWh original)'!J87)</f>
        <v>0</v>
      </c>
      <c r="K87">
        <f>IF(ISNUMBER('Sankey2050 (GWh original)'!K87),('Sankey2050 (GWh original)'!K87)/277.8,'Sankey2050 (GWh original)'!K87)</f>
        <v>0</v>
      </c>
      <c r="L87">
        <f>IF(ISNUMBER('Sankey2050 (GWh original)'!L87),('Sankey2050 (GWh original)'!L87)/277.8,'Sankey2050 (GWh original)'!L87)</f>
        <v>0</v>
      </c>
      <c r="M87">
        <f>IF(ISNUMBER('Sankey2050 (GWh original)'!M87),('Sankey2050 (GWh original)'!M87)/277.8,'Sankey2050 (GWh original)'!M87)</f>
        <v>0</v>
      </c>
      <c r="N87">
        <f>IF(ISNUMBER('Sankey2050 (GWh original)'!N87),('Sankey2050 (GWh original)'!N87)/277.8,'Sankey2050 (GWh original)'!N87)</f>
        <v>0</v>
      </c>
    </row>
    <row r="88" spans="1:18" x14ac:dyDescent="0.25">
      <c r="A88">
        <f>IF(ISNUMBER('Sankey2050 (GWh original)'!A88),('Sankey2050 (GWh original)'!A88)/277.8,'Sankey2050 (GWh original)'!A88)</f>
        <v>0</v>
      </c>
      <c r="B88" s="22" t="str">
        <f>IF(ISNUMBER('Sankey2050 (GWh original)'!B88),('Sankey2050 (GWh original)'!B88)/277.8,'Sankey2050 (GWh original)'!B88)</f>
        <v>Methanisierung</v>
      </c>
      <c r="C88" s="88">
        <f>IF(ISNUMBER('Sankey2050 (GWh original)'!C88),('Sankey2050 (GWh original)'!C88)/277.8,'Sankey2050 (GWh original)'!C88)</f>
        <v>49.296060259179278</v>
      </c>
      <c r="E88">
        <f>IF(ISNUMBER('Sankey2050 (GWh original)'!E88),('Sankey2050 (GWh original)'!E88)/277.8,'Sankey2050 (GWh original)'!E88)</f>
        <v>0</v>
      </c>
      <c r="F88">
        <f>IF(ISNUMBER('Sankey2050 (GWh original)'!F88),('Sankey2050 (GWh original)'!F88)/277.8,'Sankey2050 (GWh original)'!F88)</f>
        <v>0</v>
      </c>
      <c r="G88">
        <f>IF(ISNUMBER('Sankey2050 (GWh original)'!G88),('Sankey2050 (GWh original)'!G88)/277.8,'Sankey2050 (GWh original)'!G88)</f>
        <v>0</v>
      </c>
      <c r="H88">
        <f>IF(ISNUMBER('Sankey2050 (GWh original)'!H88),('Sankey2050 (GWh original)'!H88)/277.8,'Sankey2050 (GWh original)'!H88)</f>
        <v>0</v>
      </c>
      <c r="I88">
        <f>IF(ISNUMBER('Sankey2050 (GWh original)'!I88),('Sankey2050 (GWh original)'!I88)/277.8,'Sankey2050 (GWh original)'!I88)</f>
        <v>0</v>
      </c>
      <c r="J88">
        <f>IF(ISNUMBER('Sankey2050 (GWh original)'!J88),('Sankey2050 (GWh original)'!J88)/277.8,'Sankey2050 (GWh original)'!J88)</f>
        <v>0</v>
      </c>
      <c r="K88">
        <f>IF(ISNUMBER('Sankey2050 (GWh original)'!K88),('Sankey2050 (GWh original)'!K88)/277.8,'Sankey2050 (GWh original)'!K88)</f>
        <v>0</v>
      </c>
      <c r="L88">
        <f>IF(ISNUMBER('Sankey2050 (GWh original)'!L88),('Sankey2050 (GWh original)'!L88)/277.8,'Sankey2050 (GWh original)'!L88)</f>
        <v>0</v>
      </c>
      <c r="M88">
        <f>IF(ISNUMBER('Sankey2050 (GWh original)'!M88),('Sankey2050 (GWh original)'!M88)/277.8,'Sankey2050 (GWh original)'!M88)</f>
        <v>0</v>
      </c>
      <c r="N88">
        <f>IF(ISNUMBER('Sankey2050 (GWh original)'!N88),('Sankey2050 (GWh original)'!N88)/277.8,'Sankey2050 (GWh original)'!N88)</f>
        <v>0</v>
      </c>
    </row>
    <row r="89" spans="1:18" x14ac:dyDescent="0.25">
      <c r="A89">
        <f>IF(ISNUMBER('Sankey2050 (GWh original)'!A89),('Sankey2050 (GWh original)'!A89)/277.8,'Sankey2050 (GWh original)'!A89)</f>
        <v>0</v>
      </c>
      <c r="B89" s="6" t="str">
        <f>IF(ISNUMBER('Sankey2050 (GWh original)'!B89),('Sankey2050 (GWh original)'!B89)/277.8,'Sankey2050 (GWh original)'!B89)</f>
        <v>Summe</v>
      </c>
      <c r="C89" s="13">
        <f>IF(ISNUMBER('Sankey2050 (GWh original)'!C89),('Sankey2050 (GWh original)'!C89)/277.8,'Sankey2050 (GWh original)'!C89)</f>
        <v>63.994885529157678</v>
      </c>
      <c r="E89">
        <f>IF(ISNUMBER('Sankey2050 (GWh original)'!E89),('Sankey2050 (GWh original)'!E89)/277.8,'Sankey2050 (GWh original)'!E89)</f>
        <v>0</v>
      </c>
      <c r="F89">
        <f>IF(ISNUMBER('Sankey2050 (GWh original)'!F89),('Sankey2050 (GWh original)'!F89)/277.8,'Sankey2050 (GWh original)'!F89)</f>
        <v>0</v>
      </c>
      <c r="G89">
        <f>IF(ISNUMBER('Sankey2050 (GWh original)'!G89),('Sankey2050 (GWh original)'!G89)/277.8,'Sankey2050 (GWh original)'!G89)</f>
        <v>0</v>
      </c>
      <c r="H89">
        <f>IF(ISNUMBER('Sankey2050 (GWh original)'!H89),('Sankey2050 (GWh original)'!H89)/277.8,'Sankey2050 (GWh original)'!H89)</f>
        <v>0</v>
      </c>
      <c r="I89">
        <f>IF(ISNUMBER('Sankey2050 (GWh original)'!I89),('Sankey2050 (GWh original)'!I89)/277.8,'Sankey2050 (GWh original)'!I89)</f>
        <v>0</v>
      </c>
      <c r="J89">
        <f>IF(ISNUMBER('Sankey2050 (GWh original)'!J89),('Sankey2050 (GWh original)'!J89)/277.8,'Sankey2050 (GWh original)'!J89)</f>
        <v>0</v>
      </c>
      <c r="K89">
        <f>IF(ISNUMBER('Sankey2050 (GWh original)'!K89),('Sankey2050 (GWh original)'!K89)/277.8,'Sankey2050 (GWh original)'!K89)</f>
        <v>0</v>
      </c>
      <c r="L89">
        <f>IF(ISNUMBER('Sankey2050 (GWh original)'!L89),('Sankey2050 (GWh original)'!L89)/277.8,'Sankey2050 (GWh original)'!L89)</f>
        <v>0</v>
      </c>
      <c r="M89">
        <f>IF(ISNUMBER('Sankey2050 (GWh original)'!M89),('Sankey2050 (GWh original)'!M89)/277.8,'Sankey2050 (GWh original)'!M89)</f>
        <v>0</v>
      </c>
      <c r="N89">
        <f>IF(ISNUMBER('Sankey2050 (GWh original)'!N89),('Sankey2050 (GWh original)'!N89)/277.8,'Sankey2050 (GWh original)'!N89)</f>
        <v>0</v>
      </c>
    </row>
    <row r="90" spans="1:18" x14ac:dyDescent="0.25">
      <c r="A90">
        <f>IF(ISNUMBER('Sankey2050 (GWh original)'!A90),('Sankey2050 (GWh original)'!A90)/277.8,'Sankey2050 (GWh original)'!A90)</f>
        <v>0</v>
      </c>
      <c r="B90">
        <f>IF(ISNUMBER('Sankey2050 (GWh original)'!B90),('Sankey2050 (GWh original)'!B90)/277.8,'Sankey2050 (GWh original)'!B90)</f>
        <v>0</v>
      </c>
      <c r="C90">
        <f>IF(ISNUMBER('Sankey2050 (GWh original)'!C90),('Sankey2050 (GWh original)'!C90)/277.8,'Sankey2050 (GWh original)'!C90)</f>
        <v>0</v>
      </c>
      <c r="E90">
        <f>IF(ISNUMBER('Sankey2050 (GWh original)'!E90),('Sankey2050 (GWh original)'!E90)/277.8,'Sankey2050 (GWh original)'!E90)</f>
        <v>0</v>
      </c>
      <c r="F90">
        <f>IF(ISNUMBER('Sankey2050 (GWh original)'!F90),('Sankey2050 (GWh original)'!F90)/277.8,'Sankey2050 (GWh original)'!F90)</f>
        <v>0</v>
      </c>
      <c r="G90">
        <f>IF(ISNUMBER('Sankey2050 (GWh original)'!G90),('Sankey2050 (GWh original)'!G90)/277.8,'Sankey2050 (GWh original)'!G90)</f>
        <v>0</v>
      </c>
      <c r="H90">
        <f>IF(ISNUMBER('Sankey2050 (GWh original)'!H90),('Sankey2050 (GWh original)'!H90)/277.8,'Sankey2050 (GWh original)'!H90)</f>
        <v>0</v>
      </c>
      <c r="I90">
        <f>IF(ISNUMBER('Sankey2050 (GWh original)'!I90),('Sankey2050 (GWh original)'!I90)/277.8,'Sankey2050 (GWh original)'!I90)</f>
        <v>0</v>
      </c>
      <c r="J90">
        <f>IF(ISNUMBER('Sankey2050 (GWh original)'!J90),('Sankey2050 (GWh original)'!J90)/277.8,'Sankey2050 (GWh original)'!J90)</f>
        <v>0</v>
      </c>
      <c r="K90">
        <f>IF(ISNUMBER('Sankey2050 (GWh original)'!K90),('Sankey2050 (GWh original)'!K90)/277.8,'Sankey2050 (GWh original)'!K90)</f>
        <v>0</v>
      </c>
      <c r="L90">
        <f>IF(ISNUMBER('Sankey2050 (GWh original)'!L90),('Sankey2050 (GWh original)'!L90)/277.8,'Sankey2050 (GWh original)'!L90)</f>
        <v>0</v>
      </c>
      <c r="M90">
        <f>IF(ISNUMBER('Sankey2050 (GWh original)'!M90),('Sankey2050 (GWh original)'!M90)/277.8,'Sankey2050 (GWh original)'!M90)</f>
        <v>0</v>
      </c>
      <c r="N90">
        <f>IF(ISNUMBER('Sankey2050 (GWh original)'!N90),('Sankey2050 (GWh original)'!N90)/277.8,'Sankey2050 (GWh original)'!N90)</f>
        <v>0</v>
      </c>
    </row>
    <row r="91" spans="1:18" x14ac:dyDescent="0.25">
      <c r="A91">
        <f>IF(ISNUMBER('Sankey2050 (GWh original)'!A91),('Sankey2050 (GWh original)'!A91)/277.8,'Sankey2050 (GWh original)'!A91)</f>
        <v>0</v>
      </c>
      <c r="B91" t="str">
        <f>IF(ISNUMBER('Sankey2050 (GWh original)'!B91),('Sankey2050 (GWh original)'!B91)/277.8,'Sankey2050 (GWh original)'!B91)</f>
        <v>Methanisierungswirkungsgrad</v>
      </c>
      <c r="C91" s="35">
        <f>IF(ISNUMBER('Sankey2050 (GWh original)'!C91),('Sankey2050 (GWh original)'!C91)/277.8,'Sankey2050 (GWh original)'!C91)</f>
        <v>1.2947741042454671E-3</v>
      </c>
      <c r="E91">
        <f>IF(ISNUMBER('Sankey2050 (GWh original)'!E91),('Sankey2050 (GWh original)'!E91)/277.8,'Sankey2050 (GWh original)'!E91)</f>
        <v>0</v>
      </c>
      <c r="F91" s="10">
        <f>IF(ISNUMBER('Sankey2050 (GWh original)'!F91),('Sankey2050 (GWh original)'!F91)/277.8,'Sankey2050 (GWh original)'!F91)</f>
        <v>0</v>
      </c>
      <c r="G91">
        <f>IF(ISNUMBER('Sankey2050 (GWh original)'!G91),('Sankey2050 (GWh original)'!G91)/277.8,'Sankey2050 (GWh original)'!G91)</f>
        <v>0</v>
      </c>
      <c r="H91">
        <f>IF(ISNUMBER('Sankey2050 (GWh original)'!H91),('Sankey2050 (GWh original)'!H91)/277.8,'Sankey2050 (GWh original)'!H91)</f>
        <v>0</v>
      </c>
      <c r="I91">
        <f>IF(ISNUMBER('Sankey2050 (GWh original)'!I91),('Sankey2050 (GWh original)'!I91)/277.8,'Sankey2050 (GWh original)'!I91)</f>
        <v>0</v>
      </c>
      <c r="J91">
        <f>IF(ISNUMBER('Sankey2050 (GWh original)'!J91),('Sankey2050 (GWh original)'!J91)/277.8,'Sankey2050 (GWh original)'!J91)</f>
        <v>0</v>
      </c>
      <c r="K91">
        <f>IF(ISNUMBER('Sankey2050 (GWh original)'!K91),('Sankey2050 (GWh original)'!K91)/277.8,'Sankey2050 (GWh original)'!K91)</f>
        <v>0</v>
      </c>
      <c r="L91">
        <f>IF(ISNUMBER('Sankey2050 (GWh original)'!L91),('Sankey2050 (GWh original)'!L91)/277.8,'Sankey2050 (GWh original)'!L91)</f>
        <v>0</v>
      </c>
      <c r="M91" s="1">
        <f>IF(ISNUMBER('Sankey2050 (GWh original)'!M91),('Sankey2050 (GWh original)'!M91)/277.8,'Sankey2050 (GWh original)'!M91)</f>
        <v>0</v>
      </c>
      <c r="N91" s="1">
        <f>IF(ISNUMBER('Sankey2050 (GWh original)'!N91),('Sankey2050 (GWh original)'!N91)/277.8,'Sankey2050 (GWh original)'!N91)</f>
        <v>0</v>
      </c>
      <c r="O91" s="57"/>
      <c r="P91" s="1"/>
      <c r="Q91" s="1"/>
      <c r="R91" s="1"/>
    </row>
    <row r="92" spans="1:18" x14ac:dyDescent="0.25">
      <c r="A92">
        <f>IF(ISNUMBER('Sankey2050 (GWh original)'!A92),('Sankey2050 (GWh original)'!A92)/277.8,'Sankey2050 (GWh original)'!A92)</f>
        <v>0</v>
      </c>
      <c r="B92" t="str">
        <f>IF(ISNUMBER('Sankey2050 (GWh original)'!B92),('Sankey2050 (GWh original)'!B92)/277.8,'Sankey2050 (GWh original)'!B92)</f>
        <v>Verluste</v>
      </c>
      <c r="C92" s="9">
        <f>IF(ISNUMBER('Sankey2050 (GWh original)'!C92),('Sankey2050 (GWh original)'!C92)/277.8,'Sankey2050 (GWh original)'!C92)</f>
        <v>38.016009379821028</v>
      </c>
      <c r="D92" s="10">
        <f>IF(ISNUMBER('Sankey2050 (GWh original)'!D92),('Sankey2050 (GWh original)'!D92)/277.8,'Sankey2050 (GWh original)'!D92)</f>
        <v>0</v>
      </c>
      <c r="E92">
        <f>IF(ISNUMBER('Sankey2050 (GWh original)'!E92),('Sankey2050 (GWh original)'!E92)/277.8,'Sankey2050 (GWh original)'!E92)</f>
        <v>0</v>
      </c>
      <c r="F92" s="10">
        <f>IF(ISNUMBER('Sankey2050 (GWh original)'!F92),('Sankey2050 (GWh original)'!F92)/277.8,'Sankey2050 (GWh original)'!F92)</f>
        <v>0</v>
      </c>
      <c r="G92">
        <f>IF(ISNUMBER('Sankey2050 (GWh original)'!G92),('Sankey2050 (GWh original)'!G92)/277.8,'Sankey2050 (GWh original)'!G92)</f>
        <v>0</v>
      </c>
      <c r="H92">
        <f>IF(ISNUMBER('Sankey2050 (GWh original)'!H92),('Sankey2050 (GWh original)'!H92)/277.8,'Sankey2050 (GWh original)'!H92)</f>
        <v>0</v>
      </c>
      <c r="I92">
        <f>IF(ISNUMBER('Sankey2050 (GWh original)'!I92),('Sankey2050 (GWh original)'!I92)/277.8,'Sankey2050 (GWh original)'!I92)</f>
        <v>0</v>
      </c>
      <c r="J92">
        <f>IF(ISNUMBER('Sankey2050 (GWh original)'!J92),('Sankey2050 (GWh original)'!J92)/277.8,'Sankey2050 (GWh original)'!J92)</f>
        <v>0</v>
      </c>
      <c r="K92">
        <f>IF(ISNUMBER('Sankey2050 (GWh original)'!K92),('Sankey2050 (GWh original)'!K92)/277.8,'Sankey2050 (GWh original)'!K92)</f>
        <v>0</v>
      </c>
      <c r="L92">
        <f>IF(ISNUMBER('Sankey2050 (GWh original)'!L92),('Sankey2050 (GWh original)'!L92)/277.8,'Sankey2050 (GWh original)'!L92)</f>
        <v>0</v>
      </c>
      <c r="M92">
        <f>IF(ISNUMBER('Sankey2050 (GWh original)'!M92),('Sankey2050 (GWh original)'!M92)/277.8,'Sankey2050 (GWh original)'!M92)</f>
        <v>0</v>
      </c>
      <c r="N92">
        <f>IF(ISNUMBER('Sankey2050 (GWh original)'!N92),('Sankey2050 (GWh original)'!N92)/277.8,'Sankey2050 (GWh original)'!N92)</f>
        <v>0</v>
      </c>
    </row>
    <row r="93" spans="1:18" x14ac:dyDescent="0.25">
      <c r="A93">
        <f>IF(ISNUMBER('Sankey2050 (GWh original)'!A93),('Sankey2050 (GWh original)'!A93)/277.8,'Sankey2050 (GWh original)'!A93)</f>
        <v>0</v>
      </c>
      <c r="B93">
        <f>IF(ISNUMBER('Sankey2050 (GWh original)'!B93),('Sankey2050 (GWh original)'!B93)/277.8,'Sankey2050 (GWh original)'!B93)</f>
        <v>0</v>
      </c>
      <c r="C93">
        <f>IF(ISNUMBER('Sankey2050 (GWh original)'!C93),('Sankey2050 (GWh original)'!C93)/277.8,'Sankey2050 (GWh original)'!C93)</f>
        <v>0</v>
      </c>
      <c r="D93">
        <f>IF(ISNUMBER('Sankey2050 (GWh original)'!D93),('Sankey2050 (GWh original)'!D93)/277.8,'Sankey2050 (GWh original)'!D93)</f>
        <v>0</v>
      </c>
      <c r="E93">
        <f>IF(ISNUMBER('Sankey2050 (GWh original)'!E93),('Sankey2050 (GWh original)'!E93)/277.8,'Sankey2050 (GWh original)'!E93)</f>
        <v>0</v>
      </c>
      <c r="F93" s="10">
        <f>IF(ISNUMBER('Sankey2050 (GWh original)'!F93),('Sankey2050 (GWh original)'!F93)/277.8,'Sankey2050 (GWh original)'!F93)</f>
        <v>0</v>
      </c>
      <c r="G93">
        <f>IF(ISNUMBER('Sankey2050 (GWh original)'!G93),('Sankey2050 (GWh original)'!G93)/277.8,'Sankey2050 (GWh original)'!G93)</f>
        <v>0</v>
      </c>
      <c r="H93">
        <f>IF(ISNUMBER('Sankey2050 (GWh original)'!H93),('Sankey2050 (GWh original)'!H93)/277.8,'Sankey2050 (GWh original)'!H93)</f>
        <v>0</v>
      </c>
      <c r="I93">
        <f>IF(ISNUMBER('Sankey2050 (GWh original)'!I93),('Sankey2050 (GWh original)'!I93)/277.8,'Sankey2050 (GWh original)'!I93)</f>
        <v>0</v>
      </c>
      <c r="J93">
        <f>IF(ISNUMBER('Sankey2050 (GWh original)'!J93),('Sankey2050 (GWh original)'!J93)/277.8,'Sankey2050 (GWh original)'!J93)</f>
        <v>0</v>
      </c>
      <c r="K93">
        <f>IF(ISNUMBER('Sankey2050 (GWh original)'!K93),('Sankey2050 (GWh original)'!K93)/277.8,'Sankey2050 (GWh original)'!K93)</f>
        <v>0</v>
      </c>
      <c r="L93">
        <f>IF(ISNUMBER('Sankey2050 (GWh original)'!L93),('Sankey2050 (GWh original)'!L93)/277.8,'Sankey2050 (GWh original)'!L93)</f>
        <v>0</v>
      </c>
      <c r="M93">
        <f>IF(ISNUMBER('Sankey2050 (GWh original)'!M93),('Sankey2050 (GWh original)'!M93)/277.8,'Sankey2050 (GWh original)'!M93)</f>
        <v>0</v>
      </c>
      <c r="N93">
        <f>IF(ISNUMBER('Sankey2050 (GWh original)'!N93),('Sankey2050 (GWh original)'!N93)/277.8,'Sankey2050 (GWh original)'!N93)</f>
        <v>0</v>
      </c>
    </row>
    <row r="94" spans="1:18" x14ac:dyDescent="0.25">
      <c r="A94">
        <f>IF(ISNUMBER('Sankey2050 (GWh original)'!A94),('Sankey2050 (GWh original)'!A94)/277.8,'Sankey2050 (GWh original)'!A94)</f>
        <v>0</v>
      </c>
      <c r="B94">
        <f>IF(ISNUMBER('Sankey2050 (GWh original)'!B94),('Sankey2050 (GWh original)'!B94)/277.8,'Sankey2050 (GWh original)'!B94)</f>
        <v>0</v>
      </c>
      <c r="C94">
        <f>IF(ISNUMBER('Sankey2050 (GWh original)'!C94),('Sankey2050 (GWh original)'!C94)/277.8,'Sankey2050 (GWh original)'!C94)</f>
        <v>0</v>
      </c>
      <c r="D94">
        <f>IF(ISNUMBER('Sankey2050 (GWh original)'!D94),('Sankey2050 (GWh original)'!D94)/277.8,'Sankey2050 (GWh original)'!D94)</f>
        <v>0</v>
      </c>
      <c r="E94">
        <f>IF(ISNUMBER('Sankey2050 (GWh original)'!E94),('Sankey2050 (GWh original)'!E94)/277.8,'Sankey2050 (GWh original)'!E94)</f>
        <v>0</v>
      </c>
      <c r="F94">
        <f>IF(ISNUMBER('Sankey2050 (GWh original)'!F94),('Sankey2050 (GWh original)'!F94)/277.8,'Sankey2050 (GWh original)'!F94)</f>
        <v>0</v>
      </c>
      <c r="G94">
        <f>IF(ISNUMBER('Sankey2050 (GWh original)'!G94),('Sankey2050 (GWh original)'!G94)/277.8,'Sankey2050 (GWh original)'!G94)</f>
        <v>0</v>
      </c>
      <c r="H94">
        <f>IF(ISNUMBER('Sankey2050 (GWh original)'!H94),('Sankey2050 (GWh original)'!H94)/277.8,'Sankey2050 (GWh original)'!H94)</f>
        <v>0</v>
      </c>
      <c r="I94">
        <f>IF(ISNUMBER('Sankey2050 (GWh original)'!I94),('Sankey2050 (GWh original)'!I94)/277.8,'Sankey2050 (GWh original)'!I94)</f>
        <v>0</v>
      </c>
      <c r="J94">
        <f>IF(ISNUMBER('Sankey2050 (GWh original)'!J94),('Sankey2050 (GWh original)'!J94)/277.8,'Sankey2050 (GWh original)'!J94)</f>
        <v>0</v>
      </c>
      <c r="K94">
        <f>IF(ISNUMBER('Sankey2050 (GWh original)'!K94),('Sankey2050 (GWh original)'!K94)/277.8,'Sankey2050 (GWh original)'!K94)</f>
        <v>0</v>
      </c>
      <c r="L94">
        <f>IF(ISNUMBER('Sankey2050 (GWh original)'!L94),('Sankey2050 (GWh original)'!L94)/277.8,'Sankey2050 (GWh original)'!L94)</f>
        <v>0</v>
      </c>
      <c r="M94">
        <f>IF(ISNUMBER('Sankey2050 (GWh original)'!M94),('Sankey2050 (GWh original)'!M94)/277.8,'Sankey2050 (GWh original)'!M94)</f>
        <v>0</v>
      </c>
      <c r="N94">
        <f>IF(ISNUMBER('Sankey2050 (GWh original)'!N94),('Sankey2050 (GWh original)'!N94)/277.8,'Sankey2050 (GWh original)'!N94)</f>
        <v>0</v>
      </c>
    </row>
    <row r="95" spans="1:18" x14ac:dyDescent="0.25">
      <c r="A95">
        <f>IF(ISNUMBER('Sankey2050 (GWh original)'!A95),('Sankey2050 (GWh original)'!A95)/277.8,'Sankey2050 (GWh original)'!A95)</f>
        <v>0</v>
      </c>
      <c r="B95" s="29" t="str">
        <f>IF(ISNUMBER('Sankey2050 (GWh original)'!B95),('Sankey2050 (GWh original)'!B95)/277.8,'Sankey2050 (GWh original)'!B95)</f>
        <v>Gas Wärme &gt;100 [GWh]</v>
      </c>
      <c r="C95" s="88">
        <f>IF(ISNUMBER('Sankey2050 (GWh original)'!C95),('Sankey2050 (GWh original)'!C95)/277.8,'Sankey2050 (GWh original)'!C95)</f>
        <v>45.996323974082081</v>
      </c>
      <c r="D95" t="str">
        <f>IF(ISNUMBER('Sankey2050 (GWh original)'!D95),('Sankey2050 (GWh original)'!D95)/277.8,'Sankey2050 (GWh original)'!D95)</f>
        <v>Methanisierung</v>
      </c>
      <c r="E95" s="3" t="str">
        <f>IF(ISNUMBER('Sankey2050 (GWh original)'!E95),('Sankey2050 (GWh original)'!E95)/277.8,'Sankey2050 (GWh original)'!E95)</f>
        <v>Wärme &gt;100</v>
      </c>
      <c r="F95" s="23">
        <f>IF(ISNUMBER('Sankey2050 (GWh original)'!F95),('Sankey2050 (GWh original)'!F95)/277.8,'Sankey2050 (GWh original)'!F95)</f>
        <v>45.996331580723549</v>
      </c>
      <c r="G95">
        <f>IF(ISNUMBER('Sankey2050 (GWh original)'!G95),('Sankey2050 (GWh original)'!G95)/277.8,'Sankey2050 (GWh original)'!G95)</f>
        <v>0</v>
      </c>
      <c r="H95">
        <f>IF(ISNUMBER('Sankey2050 (GWh original)'!H95),('Sankey2050 (GWh original)'!H95)/277.8,'Sankey2050 (GWh original)'!H95)</f>
        <v>0</v>
      </c>
      <c r="I95">
        <f>IF(ISNUMBER('Sankey2050 (GWh original)'!I95),('Sankey2050 (GWh original)'!I95)/277.8,'Sankey2050 (GWh original)'!I95)</f>
        <v>0</v>
      </c>
      <c r="J95">
        <f>IF(ISNUMBER('Sankey2050 (GWh original)'!J95),('Sankey2050 (GWh original)'!J95)/277.8,'Sankey2050 (GWh original)'!J95)</f>
        <v>0</v>
      </c>
      <c r="K95">
        <f>IF(ISNUMBER('Sankey2050 (GWh original)'!K95),('Sankey2050 (GWh original)'!K95)/277.8,'Sankey2050 (GWh original)'!K95)</f>
        <v>0</v>
      </c>
      <c r="L95">
        <f>IF(ISNUMBER('Sankey2050 (GWh original)'!L95),('Sankey2050 (GWh original)'!L95)/277.8,'Sankey2050 (GWh original)'!L95)</f>
        <v>0</v>
      </c>
      <c r="M95">
        <f>IF(ISNUMBER('Sankey2050 (GWh original)'!M95),('Sankey2050 (GWh original)'!M95)/277.8,'Sankey2050 (GWh original)'!M95)</f>
        <v>0</v>
      </c>
      <c r="N95">
        <f>IF(ISNUMBER('Sankey2050 (GWh original)'!N95),('Sankey2050 (GWh original)'!N95)/277.8,'Sankey2050 (GWh original)'!N95)</f>
        <v>0</v>
      </c>
    </row>
    <row r="96" spans="1:18" x14ac:dyDescent="0.25">
      <c r="A96">
        <f>IF(ISNUMBER('Sankey2050 (GWh original)'!A96),('Sankey2050 (GWh original)'!A96)/277.8,'Sankey2050 (GWh original)'!A96)</f>
        <v>0</v>
      </c>
      <c r="B96" s="3" t="str">
        <f>IF(ISNUMBER('Sankey2050 (GWh original)'!B96),('Sankey2050 (GWh original)'!B96)/277.8,'Sankey2050 (GWh original)'!B96)</f>
        <v>Biomasse</v>
      </c>
      <c r="C96" s="88">
        <f>IF(ISNUMBER('Sankey2050 (GWh original)'!C96),('Sankey2050 (GWh original)'!C96)/277.8,'Sankey2050 (GWh original)'!C96)</f>
        <v>10.564788269438445</v>
      </c>
      <c r="D96" s="9">
        <f>IF(ISNUMBER('Sankey2050 (GWh original)'!D96),('Sankey2050 (GWh original)'!D96)/277.8,'Sankey2050 (GWh original)'!D96)</f>
        <v>0</v>
      </c>
      <c r="E96">
        <f>IF(ISNUMBER('Sankey2050 (GWh original)'!E96),('Sankey2050 (GWh original)'!E96)/277.8,'Sankey2050 (GWh original)'!E96)</f>
        <v>0</v>
      </c>
      <c r="F96">
        <f>IF(ISNUMBER('Sankey2050 (GWh original)'!F96),('Sankey2050 (GWh original)'!F96)/277.8,'Sankey2050 (GWh original)'!F96)</f>
        <v>0</v>
      </c>
      <c r="G96">
        <f>IF(ISNUMBER('Sankey2050 (GWh original)'!G96),('Sankey2050 (GWh original)'!G96)/277.8,'Sankey2050 (GWh original)'!G96)</f>
        <v>0</v>
      </c>
      <c r="H96">
        <f>IF(ISNUMBER('Sankey2050 (GWh original)'!H96),('Sankey2050 (GWh original)'!H96)/277.8,'Sankey2050 (GWh original)'!H96)</f>
        <v>0</v>
      </c>
      <c r="I96">
        <f>IF(ISNUMBER('Sankey2050 (GWh original)'!I96),('Sankey2050 (GWh original)'!I96)/277.8,'Sankey2050 (GWh original)'!I96)</f>
        <v>0</v>
      </c>
      <c r="J96">
        <f>IF(ISNUMBER('Sankey2050 (GWh original)'!J96),('Sankey2050 (GWh original)'!J96)/277.8,'Sankey2050 (GWh original)'!J96)</f>
        <v>0</v>
      </c>
      <c r="K96">
        <f>IF(ISNUMBER('Sankey2050 (GWh original)'!K96),('Sankey2050 (GWh original)'!K96)/277.8,'Sankey2050 (GWh original)'!K96)</f>
        <v>0</v>
      </c>
      <c r="L96">
        <f>IF(ISNUMBER('Sankey2050 (GWh original)'!L96),('Sankey2050 (GWh original)'!L96)/277.8,'Sankey2050 (GWh original)'!L96)</f>
        <v>0</v>
      </c>
      <c r="M96">
        <f>IF(ISNUMBER('Sankey2050 (GWh original)'!M96),('Sankey2050 (GWh original)'!M96)/277.8,'Sankey2050 (GWh original)'!M96)</f>
        <v>0</v>
      </c>
      <c r="N96">
        <f>IF(ISNUMBER('Sankey2050 (GWh original)'!N96),('Sankey2050 (GWh original)'!N96)/277.8,'Sankey2050 (GWh original)'!N96)</f>
        <v>0</v>
      </c>
    </row>
    <row r="97" spans="1:14" x14ac:dyDescent="0.25">
      <c r="A97">
        <f>IF(ISNUMBER('Sankey2050 (GWh original)'!A97),('Sankey2050 (GWh original)'!A97)/277.8,'Sankey2050 (GWh original)'!A97)</f>
        <v>0</v>
      </c>
      <c r="B97" s="3" t="str">
        <f>IF(ISNUMBER('Sankey2050 (GWh original)'!B97),('Sankey2050 (GWh original)'!B97)/277.8,'Sankey2050 (GWh original)'!B97)</f>
        <v>Wasserkraft</v>
      </c>
      <c r="C97">
        <f>IF(ISNUMBER('Sankey2050 (GWh original)'!C97),('Sankey2050 (GWh original)'!C97)/277.8,'Sankey2050 (GWh original)'!C97)</f>
        <v>0</v>
      </c>
      <c r="D97" s="88">
        <f>IF(ISNUMBER('Sankey2050 (GWh original)'!D97),('Sankey2050 (GWh original)'!D97)/277.8,'Sankey2050 (GWh original)'!D97)</f>
        <v>18.436470029523942</v>
      </c>
      <c r="E97">
        <f>IF(ISNUMBER('Sankey2050 (GWh original)'!E97),('Sankey2050 (GWh original)'!E97)/277.8,'Sankey2050 (GWh original)'!E97)</f>
        <v>0</v>
      </c>
      <c r="F97">
        <f>IF(ISNUMBER('Sankey2050 (GWh original)'!F97),('Sankey2050 (GWh original)'!F97)/277.8,'Sankey2050 (GWh original)'!F97)</f>
        <v>0</v>
      </c>
      <c r="G97">
        <f>IF(ISNUMBER('Sankey2050 (GWh original)'!G97),('Sankey2050 (GWh original)'!G97)/277.8,'Sankey2050 (GWh original)'!G97)</f>
        <v>0</v>
      </c>
      <c r="H97">
        <f>IF(ISNUMBER('Sankey2050 (GWh original)'!H97),('Sankey2050 (GWh original)'!H97)/277.8,'Sankey2050 (GWh original)'!H97)</f>
        <v>0</v>
      </c>
      <c r="I97">
        <f>IF(ISNUMBER('Sankey2050 (GWh original)'!I97),('Sankey2050 (GWh original)'!I97)/277.8,'Sankey2050 (GWh original)'!I97)</f>
        <v>0</v>
      </c>
      <c r="J97">
        <f>IF(ISNUMBER('Sankey2050 (GWh original)'!J97),('Sankey2050 (GWh original)'!J97)/277.8,'Sankey2050 (GWh original)'!J97)</f>
        <v>0</v>
      </c>
      <c r="K97">
        <f>IF(ISNUMBER('Sankey2050 (GWh original)'!K97),('Sankey2050 (GWh original)'!K97)/277.8,'Sankey2050 (GWh original)'!K97)</f>
        <v>0</v>
      </c>
      <c r="L97">
        <f>IF(ISNUMBER('Sankey2050 (GWh original)'!L97),('Sankey2050 (GWh original)'!L97)/277.8,'Sankey2050 (GWh original)'!L97)</f>
        <v>0</v>
      </c>
      <c r="M97">
        <f>IF(ISNUMBER('Sankey2050 (GWh original)'!M97),('Sankey2050 (GWh original)'!M97)/277.8,'Sankey2050 (GWh original)'!M97)</f>
        <v>0</v>
      </c>
      <c r="N97">
        <f>IF(ISNUMBER('Sankey2050 (GWh original)'!N97),('Sankey2050 (GWh original)'!N97)/277.8,'Sankey2050 (GWh original)'!N97)</f>
        <v>0</v>
      </c>
    </row>
    <row r="98" spans="1:14" x14ac:dyDescent="0.25">
      <c r="A98">
        <f>IF(ISNUMBER('Sankey2050 (GWh original)'!A98),('Sankey2050 (GWh original)'!A98)/277.8,'Sankey2050 (GWh original)'!A98)</f>
        <v>0</v>
      </c>
      <c r="B98" s="3" t="str">
        <f>IF(ISNUMBER('Sankey2050 (GWh original)'!B98),('Sankey2050 (GWh original)'!B98)/277.8,'Sankey2050 (GWh original)'!B98)</f>
        <v>Windenergie</v>
      </c>
      <c r="C98">
        <f>IF(ISNUMBER('Sankey2050 (GWh original)'!C98),('Sankey2050 (GWh original)'!C98)/277.8,'Sankey2050 (GWh original)'!C98)</f>
        <v>0</v>
      </c>
      <c r="D98" s="88">
        <f>IF(ISNUMBER('Sankey2050 (GWh original)'!D98),('Sankey2050 (GWh original)'!D98)/277.8,'Sankey2050 (GWh original)'!D98)</f>
        <v>7.65951527590222</v>
      </c>
      <c r="E98">
        <f>IF(ISNUMBER('Sankey2050 (GWh original)'!E98),('Sankey2050 (GWh original)'!E98)/277.8,'Sankey2050 (GWh original)'!E98)</f>
        <v>0</v>
      </c>
      <c r="F98" s="10">
        <f>IF(ISNUMBER('Sankey2050 (GWh original)'!F98),('Sankey2050 (GWh original)'!F98)/277.8,'Sankey2050 (GWh original)'!F98)</f>
        <v>0</v>
      </c>
      <c r="G98">
        <f>IF(ISNUMBER('Sankey2050 (GWh original)'!G98),('Sankey2050 (GWh original)'!G98)/277.8,'Sankey2050 (GWh original)'!G98)</f>
        <v>0</v>
      </c>
      <c r="H98">
        <f>IF(ISNUMBER('Sankey2050 (GWh original)'!H98),('Sankey2050 (GWh original)'!H98)/277.8,'Sankey2050 (GWh original)'!H98)</f>
        <v>0</v>
      </c>
      <c r="I98">
        <f>IF(ISNUMBER('Sankey2050 (GWh original)'!I98),('Sankey2050 (GWh original)'!I98)/277.8,'Sankey2050 (GWh original)'!I98)</f>
        <v>0</v>
      </c>
      <c r="J98">
        <f>IF(ISNUMBER('Sankey2050 (GWh original)'!J98),('Sankey2050 (GWh original)'!J98)/277.8,'Sankey2050 (GWh original)'!J98)</f>
        <v>0</v>
      </c>
      <c r="K98">
        <f>IF(ISNUMBER('Sankey2050 (GWh original)'!K98),('Sankey2050 (GWh original)'!K98)/277.8,'Sankey2050 (GWh original)'!K98)</f>
        <v>0</v>
      </c>
      <c r="L98">
        <f>IF(ISNUMBER('Sankey2050 (GWh original)'!L98),('Sankey2050 (GWh original)'!L98)/277.8,'Sankey2050 (GWh original)'!L98)</f>
        <v>0</v>
      </c>
      <c r="M98">
        <f>IF(ISNUMBER('Sankey2050 (GWh original)'!M98),('Sankey2050 (GWh original)'!M98)/277.8,'Sankey2050 (GWh original)'!M98)</f>
        <v>0</v>
      </c>
      <c r="N98">
        <f>IF(ISNUMBER('Sankey2050 (GWh original)'!N98),('Sankey2050 (GWh original)'!N98)/277.8,'Sankey2050 (GWh original)'!N98)</f>
        <v>0</v>
      </c>
    </row>
    <row r="99" spans="1:14" x14ac:dyDescent="0.25">
      <c r="A99">
        <f>IF(ISNUMBER('Sankey2050 (GWh original)'!A99),('Sankey2050 (GWh original)'!A99)/277.8,'Sankey2050 (GWh original)'!A99)</f>
        <v>0</v>
      </c>
      <c r="B99" s="14" t="str">
        <f>IF(ISNUMBER('Sankey2050 (GWh original)'!B99),('Sankey2050 (GWh original)'!B99)/277.8,'Sankey2050 (GWh original)'!B99)</f>
        <v>Summe</v>
      </c>
      <c r="C99" s="12">
        <f>IF(ISNUMBER('Sankey2050 (GWh original)'!C99),('Sankey2050 (GWh original)'!C99)/277.8,'Sankey2050 (GWh original)'!C99)</f>
        <v>36.660773574864606</v>
      </c>
      <c r="D99">
        <f>IF(ISNUMBER('Sankey2050 (GWh original)'!D99),('Sankey2050 (GWh original)'!D99)/277.8,'Sankey2050 (GWh original)'!D99)</f>
        <v>0</v>
      </c>
      <c r="E99">
        <f>IF(ISNUMBER('Sankey2050 (GWh original)'!E99),('Sankey2050 (GWh original)'!E99)/277.8,'Sankey2050 (GWh original)'!E99)</f>
        <v>0</v>
      </c>
      <c r="F99">
        <f>IF(ISNUMBER('Sankey2050 (GWh original)'!F99),('Sankey2050 (GWh original)'!F99)/277.8,'Sankey2050 (GWh original)'!F99)</f>
        <v>0</v>
      </c>
      <c r="G99">
        <f>IF(ISNUMBER('Sankey2050 (GWh original)'!G99),('Sankey2050 (GWh original)'!G99)/277.8,'Sankey2050 (GWh original)'!G99)</f>
        <v>0</v>
      </c>
      <c r="H99">
        <f>IF(ISNUMBER('Sankey2050 (GWh original)'!H99),('Sankey2050 (GWh original)'!H99)/277.8,'Sankey2050 (GWh original)'!H99)</f>
        <v>0</v>
      </c>
      <c r="I99">
        <f>IF(ISNUMBER('Sankey2050 (GWh original)'!I99),('Sankey2050 (GWh original)'!I99)/277.8,'Sankey2050 (GWh original)'!I99)</f>
        <v>0</v>
      </c>
      <c r="J99">
        <f>IF(ISNUMBER('Sankey2050 (GWh original)'!J99),('Sankey2050 (GWh original)'!J99)/277.8,'Sankey2050 (GWh original)'!J99)</f>
        <v>0</v>
      </c>
      <c r="K99">
        <f>IF(ISNUMBER('Sankey2050 (GWh original)'!K99),('Sankey2050 (GWh original)'!K99)/277.8,'Sankey2050 (GWh original)'!K99)</f>
        <v>0</v>
      </c>
      <c r="L99">
        <f>IF(ISNUMBER('Sankey2050 (GWh original)'!L99),('Sankey2050 (GWh original)'!L99)/277.8,'Sankey2050 (GWh original)'!L99)</f>
        <v>0</v>
      </c>
      <c r="M99">
        <f>IF(ISNUMBER('Sankey2050 (GWh original)'!M99),('Sankey2050 (GWh original)'!M99)/277.8,'Sankey2050 (GWh original)'!M99)</f>
        <v>0</v>
      </c>
      <c r="N99">
        <f>IF(ISNUMBER('Sankey2050 (GWh original)'!N99),('Sankey2050 (GWh original)'!N99)/277.8,'Sankey2050 (GWh original)'!N99)</f>
        <v>0</v>
      </c>
    </row>
    <row r="100" spans="1:14" x14ac:dyDescent="0.25">
      <c r="A100">
        <f>IF(ISNUMBER('Sankey2050 (GWh original)'!A100),('Sankey2050 (GWh original)'!A100)/277.8,'Sankey2050 (GWh original)'!A100)</f>
        <v>0</v>
      </c>
      <c r="B100" s="3" t="str">
        <f>IF(ISNUMBER('Sankey2050 (GWh original)'!B100),('Sankey2050 (GWh original)'!B100)/277.8,'Sankey2050 (GWh original)'!B100)</f>
        <v>Photovoltaik</v>
      </c>
      <c r="C100">
        <f>IF(ISNUMBER('Sankey2050 (GWh original)'!C100),('Sankey2050 (GWh original)'!C100)/277.8,'Sankey2050 (GWh original)'!C100)</f>
        <v>0</v>
      </c>
      <c r="D100" s="88">
        <f>IF(ISNUMBER('Sankey2050 (GWh original)'!D100),('Sankey2050 (GWh original)'!D100)/277.8,'Sankey2050 (GWh original)'!D100)</f>
        <v>9.3355580058589425</v>
      </c>
      <c r="E100">
        <f>IF(ISNUMBER('Sankey2050 (GWh original)'!E100),('Sankey2050 (GWh original)'!E100)/277.8,'Sankey2050 (GWh original)'!E100)</f>
        <v>0</v>
      </c>
      <c r="F100">
        <f>IF(ISNUMBER('Sankey2050 (GWh original)'!F100),('Sankey2050 (GWh original)'!F100)/277.8,'Sankey2050 (GWh original)'!F100)</f>
        <v>0</v>
      </c>
      <c r="G100">
        <f>IF(ISNUMBER('Sankey2050 (GWh original)'!G100),('Sankey2050 (GWh original)'!G100)/277.8,'Sankey2050 (GWh original)'!G100)</f>
        <v>0</v>
      </c>
      <c r="H100">
        <f>IF(ISNUMBER('Sankey2050 (GWh original)'!H100),('Sankey2050 (GWh original)'!H100)/277.8,'Sankey2050 (GWh original)'!H100)</f>
        <v>0</v>
      </c>
      <c r="I100">
        <f>IF(ISNUMBER('Sankey2050 (GWh original)'!I100),('Sankey2050 (GWh original)'!I100)/277.8,'Sankey2050 (GWh original)'!I100)</f>
        <v>0</v>
      </c>
      <c r="J100">
        <f>IF(ISNUMBER('Sankey2050 (GWh original)'!J100),('Sankey2050 (GWh original)'!J100)/277.8,'Sankey2050 (GWh original)'!J100)</f>
        <v>0</v>
      </c>
      <c r="K100">
        <f>IF(ISNUMBER('Sankey2050 (GWh original)'!K100),('Sankey2050 (GWh original)'!K100)/277.8,'Sankey2050 (GWh original)'!K100)</f>
        <v>0</v>
      </c>
      <c r="L100">
        <f>IF(ISNUMBER('Sankey2050 (GWh original)'!L100),('Sankey2050 (GWh original)'!L100)/277.8,'Sankey2050 (GWh original)'!L100)</f>
        <v>0</v>
      </c>
      <c r="M100">
        <f>IF(ISNUMBER('Sankey2050 (GWh original)'!M100),('Sankey2050 (GWh original)'!M100)/277.8,'Sankey2050 (GWh original)'!M100)</f>
        <v>0</v>
      </c>
      <c r="N100">
        <f>IF(ISNUMBER('Sankey2050 (GWh original)'!N100),('Sankey2050 (GWh original)'!N100)/277.8,'Sankey2050 (GWh original)'!N100)</f>
        <v>0</v>
      </c>
    </row>
    <row r="101" spans="1:14" x14ac:dyDescent="0.25">
      <c r="A101">
        <f>IF(ISNUMBER('Sankey2050 (GWh original)'!A101),('Sankey2050 (GWh original)'!A101)/277.8,'Sankey2050 (GWh original)'!A101)</f>
        <v>0</v>
      </c>
      <c r="B101" s="3" t="str">
        <f>IF(ISNUMBER('Sankey2050 (GWh original)'!B101),('Sankey2050 (GWh original)'!B101)/277.8,'Sankey2050 (GWh original)'!B101)</f>
        <v>Solarthermie</v>
      </c>
      <c r="C101" s="88">
        <f>IF(ISNUMBER('Sankey2050 (GWh original)'!C101),('Sankey2050 (GWh original)'!C101)/277.8,'Sankey2050 (GWh original)'!C101)</f>
        <v>0</v>
      </c>
      <c r="D101">
        <f>IF(ISNUMBER('Sankey2050 (GWh original)'!D101),('Sankey2050 (GWh original)'!D101)/277.8,'Sankey2050 (GWh original)'!D101)</f>
        <v>0</v>
      </c>
      <c r="E101">
        <f>IF(ISNUMBER('Sankey2050 (GWh original)'!E101),('Sankey2050 (GWh original)'!E101)/277.8,'Sankey2050 (GWh original)'!E101)</f>
        <v>0</v>
      </c>
      <c r="F101">
        <f>IF(ISNUMBER('Sankey2050 (GWh original)'!F101),('Sankey2050 (GWh original)'!F101)/277.8,'Sankey2050 (GWh original)'!F101)</f>
        <v>0</v>
      </c>
      <c r="G101">
        <f>IF(ISNUMBER('Sankey2050 (GWh original)'!G101),('Sankey2050 (GWh original)'!G101)/277.8,'Sankey2050 (GWh original)'!G101)</f>
        <v>0</v>
      </c>
      <c r="H101">
        <f>IF(ISNUMBER('Sankey2050 (GWh original)'!H101),('Sankey2050 (GWh original)'!H101)/277.8,'Sankey2050 (GWh original)'!H101)</f>
        <v>0</v>
      </c>
      <c r="I101">
        <f>IF(ISNUMBER('Sankey2050 (GWh original)'!I101),('Sankey2050 (GWh original)'!I101)/277.8,'Sankey2050 (GWh original)'!I101)</f>
        <v>0</v>
      </c>
      <c r="J101">
        <f>IF(ISNUMBER('Sankey2050 (GWh original)'!J101),('Sankey2050 (GWh original)'!J101)/277.8,'Sankey2050 (GWh original)'!J101)</f>
        <v>0</v>
      </c>
      <c r="K101">
        <f>IF(ISNUMBER('Sankey2050 (GWh original)'!K101),('Sankey2050 (GWh original)'!K101)/277.8,'Sankey2050 (GWh original)'!K101)</f>
        <v>0</v>
      </c>
      <c r="L101">
        <f>IF(ISNUMBER('Sankey2050 (GWh original)'!L101),('Sankey2050 (GWh original)'!L101)/277.8,'Sankey2050 (GWh original)'!L101)</f>
        <v>0</v>
      </c>
      <c r="M101">
        <f>IF(ISNUMBER('Sankey2050 (GWh original)'!M101),('Sankey2050 (GWh original)'!M101)/277.8,'Sankey2050 (GWh original)'!M101)</f>
        <v>0</v>
      </c>
      <c r="N101">
        <f>IF(ISNUMBER('Sankey2050 (GWh original)'!N101),('Sankey2050 (GWh original)'!N101)/277.8,'Sankey2050 (GWh original)'!N101)</f>
        <v>0</v>
      </c>
    </row>
    <row r="102" spans="1:14" x14ac:dyDescent="0.25">
      <c r="A102">
        <f>IF(ISNUMBER('Sankey2050 (GWh original)'!A102),('Sankey2050 (GWh original)'!A102)/277.8,'Sankey2050 (GWh original)'!A102)</f>
        <v>0</v>
      </c>
      <c r="B102" s="3" t="str">
        <f>IF(ISNUMBER('Sankey2050 (GWh original)'!B102),('Sankey2050 (GWh original)'!B102)/277.8,'Sankey2050 (GWh original)'!B102)</f>
        <v>Oberflächennahe Umweltwärme</v>
      </c>
      <c r="C102" s="88">
        <f>IF(ISNUMBER('Sankey2050 (GWh original)'!C102),('Sankey2050 (GWh original)'!C102)/277.8,'Sankey2050 (GWh original)'!C102)</f>
        <v>0</v>
      </c>
      <c r="D102">
        <f>IF(ISNUMBER('Sankey2050 (GWh original)'!D102),('Sankey2050 (GWh original)'!D102)/277.8,'Sankey2050 (GWh original)'!D102)</f>
        <v>0</v>
      </c>
      <c r="E102">
        <f>IF(ISNUMBER('Sankey2050 (GWh original)'!E102),('Sankey2050 (GWh original)'!E102)/277.8,'Sankey2050 (GWh original)'!E102)</f>
        <v>0</v>
      </c>
      <c r="F102">
        <f>IF(ISNUMBER('Sankey2050 (GWh original)'!F102),('Sankey2050 (GWh original)'!F102)/277.8,'Sankey2050 (GWh original)'!F102)</f>
        <v>0</v>
      </c>
      <c r="G102">
        <f>IF(ISNUMBER('Sankey2050 (GWh original)'!G102),('Sankey2050 (GWh original)'!G102)/277.8,'Sankey2050 (GWh original)'!G102)</f>
        <v>0</v>
      </c>
      <c r="H102">
        <f>IF(ISNUMBER('Sankey2050 (GWh original)'!H102),('Sankey2050 (GWh original)'!H102)/277.8,'Sankey2050 (GWh original)'!H102)</f>
        <v>0</v>
      </c>
      <c r="I102">
        <f>IF(ISNUMBER('Sankey2050 (GWh original)'!I102),('Sankey2050 (GWh original)'!I102)/277.8,'Sankey2050 (GWh original)'!I102)</f>
        <v>0</v>
      </c>
      <c r="J102">
        <f>IF(ISNUMBER('Sankey2050 (GWh original)'!J102),('Sankey2050 (GWh original)'!J102)/277.8,'Sankey2050 (GWh original)'!J102)</f>
        <v>0</v>
      </c>
      <c r="K102">
        <f>IF(ISNUMBER('Sankey2050 (GWh original)'!K102),('Sankey2050 (GWh original)'!K102)/277.8,'Sankey2050 (GWh original)'!K102)</f>
        <v>0</v>
      </c>
      <c r="L102">
        <f>IF(ISNUMBER('Sankey2050 (GWh original)'!L102),('Sankey2050 (GWh original)'!L102)/277.8,'Sankey2050 (GWh original)'!L102)</f>
        <v>0</v>
      </c>
      <c r="M102">
        <f>IF(ISNUMBER('Sankey2050 (GWh original)'!M102),('Sankey2050 (GWh original)'!M102)/277.8,'Sankey2050 (GWh original)'!M102)</f>
        <v>0</v>
      </c>
      <c r="N102">
        <f>IF(ISNUMBER('Sankey2050 (GWh original)'!N102),('Sankey2050 (GWh original)'!N102)/277.8,'Sankey2050 (GWh original)'!N102)</f>
        <v>0</v>
      </c>
    </row>
    <row r="103" spans="1:14" x14ac:dyDescent="0.25">
      <c r="A103">
        <f>IF(ISNUMBER('Sankey2050 (GWh original)'!A103),('Sankey2050 (GWh original)'!A103)/277.8,'Sankey2050 (GWh original)'!A103)</f>
        <v>0</v>
      </c>
      <c r="B103" s="14" t="str">
        <f>IF(ISNUMBER('Sankey2050 (GWh original)'!B103),('Sankey2050 (GWh original)'!B103)/277.8,'Sankey2050 (GWh original)'!B103)</f>
        <v>Summe</v>
      </c>
      <c r="C103" s="12">
        <f>IF(ISNUMBER('Sankey2050 (GWh original)'!C103),('Sankey2050 (GWh original)'!C103)/277.8,'Sankey2050 (GWh original)'!C103)</f>
        <v>9.3355580058589425</v>
      </c>
      <c r="D103">
        <f>IF(ISNUMBER('Sankey2050 (GWh original)'!D103),('Sankey2050 (GWh original)'!D103)/277.8,'Sankey2050 (GWh original)'!D103)</f>
        <v>0</v>
      </c>
      <c r="E103">
        <f>IF(ISNUMBER('Sankey2050 (GWh original)'!E103),('Sankey2050 (GWh original)'!E103)/277.8,'Sankey2050 (GWh original)'!E103)</f>
        <v>0</v>
      </c>
      <c r="F103">
        <f>IF(ISNUMBER('Sankey2050 (GWh original)'!F103),('Sankey2050 (GWh original)'!F103)/277.8,'Sankey2050 (GWh original)'!F103)</f>
        <v>0</v>
      </c>
      <c r="G103">
        <f>IF(ISNUMBER('Sankey2050 (GWh original)'!G103),('Sankey2050 (GWh original)'!G103)/277.8,'Sankey2050 (GWh original)'!G103)</f>
        <v>0</v>
      </c>
      <c r="H103">
        <f>IF(ISNUMBER('Sankey2050 (GWh original)'!H103),('Sankey2050 (GWh original)'!H103)/277.8,'Sankey2050 (GWh original)'!H103)</f>
        <v>0</v>
      </c>
      <c r="I103">
        <f>IF(ISNUMBER('Sankey2050 (GWh original)'!I103),('Sankey2050 (GWh original)'!I103)/277.8,'Sankey2050 (GWh original)'!I103)</f>
        <v>0</v>
      </c>
      <c r="J103">
        <f>IF(ISNUMBER('Sankey2050 (GWh original)'!J103),('Sankey2050 (GWh original)'!J103)/277.8,'Sankey2050 (GWh original)'!J103)</f>
        <v>0</v>
      </c>
      <c r="K103">
        <f>IF(ISNUMBER('Sankey2050 (GWh original)'!K103),('Sankey2050 (GWh original)'!K103)/277.8,'Sankey2050 (GWh original)'!K103)</f>
        <v>0</v>
      </c>
      <c r="L103">
        <f>IF(ISNUMBER('Sankey2050 (GWh original)'!L103),('Sankey2050 (GWh original)'!L103)/277.8,'Sankey2050 (GWh original)'!L103)</f>
        <v>0</v>
      </c>
      <c r="M103">
        <f>IF(ISNUMBER('Sankey2050 (GWh original)'!M103),('Sankey2050 (GWh original)'!M103)/277.8,'Sankey2050 (GWh original)'!M103)</f>
        <v>0</v>
      </c>
      <c r="N103">
        <f>IF(ISNUMBER('Sankey2050 (GWh original)'!N103),('Sankey2050 (GWh original)'!N103)/277.8,'Sankey2050 (GWh original)'!N103)</f>
        <v>0</v>
      </c>
    </row>
    <row r="104" spans="1:14" x14ac:dyDescent="0.25">
      <c r="A104">
        <f>IF(ISNUMBER('Sankey2050 (GWh original)'!A104),('Sankey2050 (GWh original)'!A104)/277.8,'Sankey2050 (GWh original)'!A104)</f>
        <v>0</v>
      </c>
      <c r="B104" s="16" t="str">
        <f>IF(ISNUMBER('Sankey2050 (GWh original)'!B104),('Sankey2050 (GWh original)'!B104)/277.8,'Sankey2050 (GWh original)'!B104)</f>
        <v>Gesamtsumme</v>
      </c>
      <c r="C104" s="20">
        <f>IF(ISNUMBER('Sankey2050 (GWh original)'!C104),('Sankey2050 (GWh original)'!C104)/277.8,'Sankey2050 (GWh original)'!C104)</f>
        <v>45.996331580723549</v>
      </c>
      <c r="D104" s="10">
        <f>IF(ISNUMBER('Sankey2050 (GWh original)'!D104),('Sankey2050 (GWh original)'!D104)/277.8,'Sankey2050 (GWh original)'!D104)</f>
        <v>35.431543311285104</v>
      </c>
      <c r="E104">
        <f>IF(ISNUMBER('Sankey2050 (GWh original)'!E104),('Sankey2050 (GWh original)'!E104)/277.8,'Sankey2050 (GWh original)'!E104)</f>
        <v>0</v>
      </c>
      <c r="F104">
        <f>IF(ISNUMBER('Sankey2050 (GWh original)'!F104),('Sankey2050 (GWh original)'!F104)/277.8,'Sankey2050 (GWh original)'!F104)</f>
        <v>0</v>
      </c>
      <c r="G104">
        <f>IF(ISNUMBER('Sankey2050 (GWh original)'!G104),('Sankey2050 (GWh original)'!G104)/277.8,'Sankey2050 (GWh original)'!G104)</f>
        <v>0</v>
      </c>
      <c r="H104">
        <f>IF(ISNUMBER('Sankey2050 (GWh original)'!H104),('Sankey2050 (GWh original)'!H104)/277.8,'Sankey2050 (GWh original)'!H104)</f>
        <v>0</v>
      </c>
      <c r="I104">
        <f>IF(ISNUMBER('Sankey2050 (GWh original)'!I104),('Sankey2050 (GWh original)'!I104)/277.8,'Sankey2050 (GWh original)'!I104)</f>
        <v>0</v>
      </c>
      <c r="J104">
        <f>IF(ISNUMBER('Sankey2050 (GWh original)'!J104),('Sankey2050 (GWh original)'!J104)/277.8,'Sankey2050 (GWh original)'!J104)</f>
        <v>0</v>
      </c>
      <c r="K104">
        <f>IF(ISNUMBER('Sankey2050 (GWh original)'!K104),('Sankey2050 (GWh original)'!K104)/277.8,'Sankey2050 (GWh original)'!K104)</f>
        <v>0</v>
      </c>
      <c r="L104">
        <f>IF(ISNUMBER('Sankey2050 (GWh original)'!L104),('Sankey2050 (GWh original)'!L104)/277.8,'Sankey2050 (GWh original)'!L104)</f>
        <v>0</v>
      </c>
      <c r="M104">
        <f>IF(ISNUMBER('Sankey2050 (GWh original)'!M104),('Sankey2050 (GWh original)'!M104)/277.8,'Sankey2050 (GWh original)'!M104)</f>
        <v>0</v>
      </c>
      <c r="N104">
        <f>IF(ISNUMBER('Sankey2050 (GWh original)'!N104),('Sankey2050 (GWh original)'!N104)/277.8,'Sankey2050 (GWh original)'!N104)</f>
        <v>0</v>
      </c>
    </row>
    <row r="105" spans="1:14" x14ac:dyDescent="0.25">
      <c r="A105">
        <f>IF(ISNUMBER('Sankey2050 (GWh original)'!A105),('Sankey2050 (GWh original)'!A105)/277.8,'Sankey2050 (GWh original)'!A105)</f>
        <v>0</v>
      </c>
      <c r="B105">
        <f>IF(ISNUMBER('Sankey2050 (GWh original)'!B105),('Sankey2050 (GWh original)'!B105)/277.8,'Sankey2050 (GWh original)'!B105)</f>
        <v>0</v>
      </c>
      <c r="C105">
        <f>IF(ISNUMBER('Sankey2050 (GWh original)'!C105),('Sankey2050 (GWh original)'!C105)/277.8,'Sankey2050 (GWh original)'!C105)</f>
        <v>0</v>
      </c>
      <c r="D105">
        <f>IF(ISNUMBER('Sankey2050 (GWh original)'!D105),('Sankey2050 (GWh original)'!D105)/277.8,'Sankey2050 (GWh original)'!D105)</f>
        <v>0</v>
      </c>
      <c r="E105">
        <f>IF(ISNUMBER('Sankey2050 (GWh original)'!E105),('Sankey2050 (GWh original)'!E105)/277.8,'Sankey2050 (GWh original)'!E105)</f>
        <v>0</v>
      </c>
      <c r="F105">
        <f>IF(ISNUMBER('Sankey2050 (GWh original)'!F105),('Sankey2050 (GWh original)'!F105)/277.8,'Sankey2050 (GWh original)'!F105)</f>
        <v>0</v>
      </c>
      <c r="G105">
        <f>IF(ISNUMBER('Sankey2050 (GWh original)'!G105),('Sankey2050 (GWh original)'!G105)/277.8,'Sankey2050 (GWh original)'!G105)</f>
        <v>0</v>
      </c>
      <c r="H105">
        <f>IF(ISNUMBER('Sankey2050 (GWh original)'!H105),('Sankey2050 (GWh original)'!H105)/277.8,'Sankey2050 (GWh original)'!H105)</f>
        <v>0</v>
      </c>
      <c r="I105">
        <f>IF(ISNUMBER('Sankey2050 (GWh original)'!I105),('Sankey2050 (GWh original)'!I105)/277.8,'Sankey2050 (GWh original)'!I105)</f>
        <v>0</v>
      </c>
      <c r="J105">
        <f>IF(ISNUMBER('Sankey2050 (GWh original)'!J105),('Sankey2050 (GWh original)'!J105)/277.8,'Sankey2050 (GWh original)'!J105)</f>
        <v>0</v>
      </c>
      <c r="K105">
        <f>IF(ISNUMBER('Sankey2050 (GWh original)'!K105),('Sankey2050 (GWh original)'!K105)/277.8,'Sankey2050 (GWh original)'!K105)</f>
        <v>0</v>
      </c>
      <c r="L105">
        <f>IF(ISNUMBER('Sankey2050 (GWh original)'!L105),('Sankey2050 (GWh original)'!L105)/277.8,'Sankey2050 (GWh original)'!L105)</f>
        <v>0</v>
      </c>
      <c r="M105">
        <f>IF(ISNUMBER('Sankey2050 (GWh original)'!M105),('Sankey2050 (GWh original)'!M105)/277.8,'Sankey2050 (GWh original)'!M105)</f>
        <v>0</v>
      </c>
      <c r="N105">
        <f>IF(ISNUMBER('Sankey2050 (GWh original)'!N105),('Sankey2050 (GWh original)'!N105)/277.8,'Sankey2050 (GWh original)'!N105)</f>
        <v>0</v>
      </c>
    </row>
    <row r="106" spans="1:14" x14ac:dyDescent="0.25">
      <c r="A106">
        <f>IF(ISNUMBER('Sankey2050 (GWh original)'!A106),('Sankey2050 (GWh original)'!A106)/277.8,'Sankey2050 (GWh original)'!A106)</f>
        <v>0</v>
      </c>
      <c r="B106" s="29" t="str">
        <f>IF(ISNUMBER('Sankey2050 (GWh original)'!B106),('Sankey2050 (GWh original)'!B106)/277.8,'Sankey2050 (GWh original)'!B106)</f>
        <v>Gas Mobilität [GWh]</v>
      </c>
      <c r="C106" s="88">
        <f>IF(ISNUMBER('Sankey2050 (GWh original)'!C106),('Sankey2050 (GWh original)'!C106)/277.8,'Sankey2050 (GWh original)'!C106)</f>
        <v>14.998801295896332</v>
      </c>
      <c r="D106">
        <f>IF(ISNUMBER('Sankey2050 (GWh original)'!D106),('Sankey2050 (GWh original)'!D106)/277.8,'Sankey2050 (GWh original)'!D106)</f>
        <v>0</v>
      </c>
      <c r="E106" s="3" t="str">
        <f>IF(ISNUMBER('Sankey2050 (GWh original)'!E106),('Sankey2050 (GWh original)'!E106)/277.8,'Sankey2050 (GWh original)'!E106)</f>
        <v>Mobilität</v>
      </c>
      <c r="F106" s="23">
        <f>IF(ISNUMBER('Sankey2050 (GWh original)'!F106),('Sankey2050 (GWh original)'!F106)/277.8,'Sankey2050 (GWh original)'!F106)</f>
        <v>14.998801295896328</v>
      </c>
      <c r="G106">
        <f>IF(ISNUMBER('Sankey2050 (GWh original)'!G106),('Sankey2050 (GWh original)'!G106)/277.8,'Sankey2050 (GWh original)'!G106)</f>
        <v>0</v>
      </c>
      <c r="H106">
        <f>IF(ISNUMBER('Sankey2050 (GWh original)'!H106),('Sankey2050 (GWh original)'!H106)/277.8,'Sankey2050 (GWh original)'!H106)</f>
        <v>0</v>
      </c>
      <c r="I106">
        <f>IF(ISNUMBER('Sankey2050 (GWh original)'!I106),('Sankey2050 (GWh original)'!I106)/277.8,'Sankey2050 (GWh original)'!I106)</f>
        <v>0</v>
      </c>
      <c r="J106">
        <f>IF(ISNUMBER('Sankey2050 (GWh original)'!J106),('Sankey2050 (GWh original)'!J106)/277.8,'Sankey2050 (GWh original)'!J106)</f>
        <v>0</v>
      </c>
      <c r="K106">
        <f>IF(ISNUMBER('Sankey2050 (GWh original)'!K106),('Sankey2050 (GWh original)'!K106)/277.8,'Sankey2050 (GWh original)'!K106)</f>
        <v>0</v>
      </c>
      <c r="L106">
        <f>IF(ISNUMBER('Sankey2050 (GWh original)'!L106),('Sankey2050 (GWh original)'!L106)/277.8,'Sankey2050 (GWh original)'!L106)</f>
        <v>0</v>
      </c>
      <c r="M106">
        <f>IF(ISNUMBER('Sankey2050 (GWh original)'!M106),('Sankey2050 (GWh original)'!M106)/277.8,'Sankey2050 (GWh original)'!M106)</f>
        <v>0</v>
      </c>
      <c r="N106">
        <f>IF(ISNUMBER('Sankey2050 (GWh original)'!N106),('Sankey2050 (GWh original)'!N106)/277.8,'Sankey2050 (GWh original)'!N106)</f>
        <v>0</v>
      </c>
    </row>
    <row r="107" spans="1:14" x14ac:dyDescent="0.25">
      <c r="A107">
        <f>IF(ISNUMBER('Sankey2050 (GWh original)'!A107),('Sankey2050 (GWh original)'!A107)/277.8,'Sankey2050 (GWh original)'!A107)</f>
        <v>0</v>
      </c>
      <c r="B107" s="3" t="str">
        <f>IF(ISNUMBER('Sankey2050 (GWh original)'!B107),('Sankey2050 (GWh original)'!B107)/277.8,'Sankey2050 (GWh original)'!B107)</f>
        <v>Biomasse</v>
      </c>
      <c r="C107" s="88">
        <f>IF(ISNUMBER('Sankey2050 (GWh original)'!C107),('Sankey2050 (GWh original)'!C107)/277.8,'Sankey2050 (GWh original)'!C107)</f>
        <v>3.4450371726511877</v>
      </c>
      <c r="D107">
        <f>IF(ISNUMBER('Sankey2050 (GWh original)'!D107),('Sankey2050 (GWh original)'!D107)/277.8,'Sankey2050 (GWh original)'!D107)</f>
        <v>0</v>
      </c>
      <c r="E107">
        <f>IF(ISNUMBER('Sankey2050 (GWh original)'!E107),('Sankey2050 (GWh original)'!E107)/277.8,'Sankey2050 (GWh original)'!E107)</f>
        <v>0</v>
      </c>
      <c r="F107">
        <f>IF(ISNUMBER('Sankey2050 (GWh original)'!F107),('Sankey2050 (GWh original)'!F107)/277.8,'Sankey2050 (GWh original)'!F107)</f>
        <v>0</v>
      </c>
      <c r="G107">
        <f>IF(ISNUMBER('Sankey2050 (GWh original)'!G107),('Sankey2050 (GWh original)'!G107)/277.8,'Sankey2050 (GWh original)'!G107)</f>
        <v>0</v>
      </c>
      <c r="H107">
        <f>IF(ISNUMBER('Sankey2050 (GWh original)'!H107),('Sankey2050 (GWh original)'!H107)/277.8,'Sankey2050 (GWh original)'!H107)</f>
        <v>0</v>
      </c>
      <c r="I107">
        <f>IF(ISNUMBER('Sankey2050 (GWh original)'!I107),('Sankey2050 (GWh original)'!I107)/277.8,'Sankey2050 (GWh original)'!I107)</f>
        <v>0</v>
      </c>
      <c r="J107">
        <f>IF(ISNUMBER('Sankey2050 (GWh original)'!J107),('Sankey2050 (GWh original)'!J107)/277.8,'Sankey2050 (GWh original)'!J107)</f>
        <v>0</v>
      </c>
      <c r="K107">
        <f>IF(ISNUMBER('Sankey2050 (GWh original)'!K107),('Sankey2050 (GWh original)'!K107)/277.8,'Sankey2050 (GWh original)'!K107)</f>
        <v>0</v>
      </c>
      <c r="L107">
        <f>IF(ISNUMBER('Sankey2050 (GWh original)'!L107),('Sankey2050 (GWh original)'!L107)/277.8,'Sankey2050 (GWh original)'!L107)</f>
        <v>0</v>
      </c>
      <c r="M107">
        <f>IF(ISNUMBER('Sankey2050 (GWh original)'!M107),('Sankey2050 (GWh original)'!M107)/277.8,'Sankey2050 (GWh original)'!M107)</f>
        <v>0</v>
      </c>
      <c r="N107">
        <f>IF(ISNUMBER('Sankey2050 (GWh original)'!N107),('Sankey2050 (GWh original)'!N107)/277.8,'Sankey2050 (GWh original)'!N107)</f>
        <v>0</v>
      </c>
    </row>
    <row r="108" spans="1:14" x14ac:dyDescent="0.25">
      <c r="A108">
        <f>IF(ISNUMBER('Sankey2050 (GWh original)'!A108),('Sankey2050 (GWh original)'!A108)/277.8,'Sankey2050 (GWh original)'!A108)</f>
        <v>0</v>
      </c>
      <c r="B108" s="3" t="str">
        <f>IF(ISNUMBER('Sankey2050 (GWh original)'!B108),('Sankey2050 (GWh original)'!B108)/277.8,'Sankey2050 (GWh original)'!B108)</f>
        <v>Wasserkraft</v>
      </c>
      <c r="C108" s="88">
        <f>IF(ISNUMBER('Sankey2050 (GWh original)'!C108),('Sankey2050 (GWh original)'!C108)/277.8,'Sankey2050 (GWh original)'!C108)</f>
        <v>6.0118924009317203</v>
      </c>
      <c r="D108">
        <f>IF(ISNUMBER('Sankey2050 (GWh original)'!D108),('Sankey2050 (GWh original)'!D108)/277.8,'Sankey2050 (GWh original)'!D108)</f>
        <v>0</v>
      </c>
      <c r="E108">
        <f>IF(ISNUMBER('Sankey2050 (GWh original)'!E108),('Sankey2050 (GWh original)'!E108)/277.8,'Sankey2050 (GWh original)'!E108)</f>
        <v>0</v>
      </c>
      <c r="F108">
        <f>IF(ISNUMBER('Sankey2050 (GWh original)'!F108),('Sankey2050 (GWh original)'!F108)/277.8,'Sankey2050 (GWh original)'!F108)</f>
        <v>0</v>
      </c>
      <c r="G108">
        <f>IF(ISNUMBER('Sankey2050 (GWh original)'!G108),('Sankey2050 (GWh original)'!G108)/277.8,'Sankey2050 (GWh original)'!G108)</f>
        <v>0</v>
      </c>
      <c r="H108">
        <f>IF(ISNUMBER('Sankey2050 (GWh original)'!H108),('Sankey2050 (GWh original)'!H108)/277.8,'Sankey2050 (GWh original)'!H108)</f>
        <v>0</v>
      </c>
      <c r="I108">
        <f>IF(ISNUMBER('Sankey2050 (GWh original)'!I108),('Sankey2050 (GWh original)'!I108)/277.8,'Sankey2050 (GWh original)'!I108)</f>
        <v>0</v>
      </c>
      <c r="J108">
        <f>IF(ISNUMBER('Sankey2050 (GWh original)'!J108),('Sankey2050 (GWh original)'!J108)/277.8,'Sankey2050 (GWh original)'!J108)</f>
        <v>0</v>
      </c>
      <c r="K108">
        <f>IF(ISNUMBER('Sankey2050 (GWh original)'!K108),('Sankey2050 (GWh original)'!K108)/277.8,'Sankey2050 (GWh original)'!K108)</f>
        <v>0</v>
      </c>
      <c r="L108">
        <f>IF(ISNUMBER('Sankey2050 (GWh original)'!L108),('Sankey2050 (GWh original)'!L108)/277.8,'Sankey2050 (GWh original)'!L108)</f>
        <v>0</v>
      </c>
      <c r="M108">
        <f>IF(ISNUMBER('Sankey2050 (GWh original)'!M108),('Sankey2050 (GWh original)'!M108)/277.8,'Sankey2050 (GWh original)'!M108)</f>
        <v>0</v>
      </c>
      <c r="N108">
        <f>IF(ISNUMBER('Sankey2050 (GWh original)'!N108),('Sankey2050 (GWh original)'!N108)/277.8,'Sankey2050 (GWh original)'!N108)</f>
        <v>0</v>
      </c>
    </row>
    <row r="109" spans="1:14" x14ac:dyDescent="0.25">
      <c r="A109">
        <f>IF(ISNUMBER('Sankey2050 (GWh original)'!A109),('Sankey2050 (GWh original)'!A109)/277.8,'Sankey2050 (GWh original)'!A109)</f>
        <v>0</v>
      </c>
      <c r="B109" s="3" t="str">
        <f>IF(ISNUMBER('Sankey2050 (GWh original)'!B109),('Sankey2050 (GWh original)'!B109)/277.8,'Sankey2050 (GWh original)'!B109)</f>
        <v>Windenergie</v>
      </c>
      <c r="C109" s="88">
        <f>IF(ISNUMBER('Sankey2050 (GWh original)'!C109),('Sankey2050 (GWh original)'!C109)/277.8,'Sankey2050 (GWh original)'!C109)</f>
        <v>2.4976680247507237</v>
      </c>
      <c r="D109">
        <f>IF(ISNUMBER('Sankey2050 (GWh original)'!D109),('Sankey2050 (GWh original)'!D109)/277.8,'Sankey2050 (GWh original)'!D109)</f>
        <v>0</v>
      </c>
      <c r="E109" s="36" t="str">
        <f>IF(ISNUMBER('Sankey2050 (GWh original)'!E109),('Sankey2050 (GWh original)'!E109)/277.8,'Sankey2050 (GWh original)'!E109)</f>
        <v>Gas gesamt</v>
      </c>
      <c r="F109" s="30">
        <f>IF(ISNUMBER('Sankey2050 (GWh original)'!F109),('Sankey2050 (GWh original)'!F109)/277.8,'Sankey2050 (GWh original)'!F109)</f>
        <v>63.994885529157671</v>
      </c>
      <c r="G109">
        <f>IF(ISNUMBER('Sankey2050 (GWh original)'!G109),('Sankey2050 (GWh original)'!G109)/277.8,'Sankey2050 (GWh original)'!G109)</f>
        <v>0</v>
      </c>
      <c r="H109">
        <f>IF(ISNUMBER('Sankey2050 (GWh original)'!H109),('Sankey2050 (GWh original)'!H109)/277.8,'Sankey2050 (GWh original)'!H109)</f>
        <v>0</v>
      </c>
      <c r="I109">
        <f>IF(ISNUMBER('Sankey2050 (GWh original)'!I109),('Sankey2050 (GWh original)'!I109)/277.8,'Sankey2050 (GWh original)'!I109)</f>
        <v>0</v>
      </c>
      <c r="J109">
        <f>IF(ISNUMBER('Sankey2050 (GWh original)'!J109),('Sankey2050 (GWh original)'!J109)/277.8,'Sankey2050 (GWh original)'!J109)</f>
        <v>0</v>
      </c>
      <c r="K109">
        <f>IF(ISNUMBER('Sankey2050 (GWh original)'!K109),('Sankey2050 (GWh original)'!K109)/277.8,'Sankey2050 (GWh original)'!K109)</f>
        <v>0</v>
      </c>
      <c r="L109">
        <f>IF(ISNUMBER('Sankey2050 (GWh original)'!L109),('Sankey2050 (GWh original)'!L109)/277.8,'Sankey2050 (GWh original)'!L109)</f>
        <v>0</v>
      </c>
      <c r="M109">
        <f>IF(ISNUMBER('Sankey2050 (GWh original)'!M109),('Sankey2050 (GWh original)'!M109)/277.8,'Sankey2050 (GWh original)'!M109)</f>
        <v>0</v>
      </c>
      <c r="N109">
        <f>IF(ISNUMBER('Sankey2050 (GWh original)'!N109),('Sankey2050 (GWh original)'!N109)/277.8,'Sankey2050 (GWh original)'!N109)</f>
        <v>0</v>
      </c>
    </row>
    <row r="110" spans="1:14" x14ac:dyDescent="0.25">
      <c r="A110">
        <f>IF(ISNUMBER('Sankey2050 (GWh original)'!A110),('Sankey2050 (GWh original)'!A110)/277.8,'Sankey2050 (GWh original)'!A110)</f>
        <v>0</v>
      </c>
      <c r="B110" s="14" t="str">
        <f>IF(ISNUMBER('Sankey2050 (GWh original)'!B110),('Sankey2050 (GWh original)'!B110)/277.8,'Sankey2050 (GWh original)'!B110)</f>
        <v>Summe</v>
      </c>
      <c r="C110" s="15">
        <f>IF(ISNUMBER('Sankey2050 (GWh original)'!C110),('Sankey2050 (GWh original)'!C110)/277.8,'Sankey2050 (GWh original)'!C110)</f>
        <v>11.954597598333631</v>
      </c>
      <c r="D110">
        <f>IF(ISNUMBER('Sankey2050 (GWh original)'!D110),('Sankey2050 (GWh original)'!D110)/277.8,'Sankey2050 (GWh original)'!D110)</f>
        <v>0</v>
      </c>
      <c r="E110" s="3" t="str">
        <f>IF(ISNUMBER('Sankey2050 (GWh original)'!E110),('Sankey2050 (GWh original)'!E110)/277.8,'Sankey2050 (GWh original)'!E110)</f>
        <v>Gas f Wärme</v>
      </c>
      <c r="F110" s="88">
        <f>IF(ISNUMBER('Sankey2050 (GWh original)'!F110),('Sankey2050 (GWh original)'!F110)/277.8,'Sankey2050 (GWh original)'!F110)</f>
        <v>45.996323974082081</v>
      </c>
      <c r="G110">
        <f>IF(ISNUMBER('Sankey2050 (GWh original)'!G110),('Sankey2050 (GWh original)'!G110)/277.8,'Sankey2050 (GWh original)'!G110)</f>
        <v>0</v>
      </c>
      <c r="H110">
        <f>IF(ISNUMBER('Sankey2050 (GWh original)'!H110),('Sankey2050 (GWh original)'!H110)/277.8,'Sankey2050 (GWh original)'!H110)</f>
        <v>0</v>
      </c>
      <c r="I110">
        <f>IF(ISNUMBER('Sankey2050 (GWh original)'!I110),('Sankey2050 (GWh original)'!I110)/277.8,'Sankey2050 (GWh original)'!I110)</f>
        <v>0</v>
      </c>
      <c r="J110">
        <f>IF(ISNUMBER('Sankey2050 (GWh original)'!J110),('Sankey2050 (GWh original)'!J110)/277.8,'Sankey2050 (GWh original)'!J110)</f>
        <v>0</v>
      </c>
      <c r="K110">
        <f>IF(ISNUMBER('Sankey2050 (GWh original)'!K110),('Sankey2050 (GWh original)'!K110)/277.8,'Sankey2050 (GWh original)'!K110)</f>
        <v>0</v>
      </c>
      <c r="L110">
        <f>IF(ISNUMBER('Sankey2050 (GWh original)'!L110),('Sankey2050 (GWh original)'!L110)/277.8,'Sankey2050 (GWh original)'!L110)</f>
        <v>0</v>
      </c>
      <c r="M110">
        <f>IF(ISNUMBER('Sankey2050 (GWh original)'!M110),('Sankey2050 (GWh original)'!M110)/277.8,'Sankey2050 (GWh original)'!M110)</f>
        <v>0</v>
      </c>
      <c r="N110">
        <f>IF(ISNUMBER('Sankey2050 (GWh original)'!N110),('Sankey2050 (GWh original)'!N110)/277.8,'Sankey2050 (GWh original)'!N110)</f>
        <v>0</v>
      </c>
    </row>
    <row r="111" spans="1:14" x14ac:dyDescent="0.25">
      <c r="A111">
        <f>IF(ISNUMBER('Sankey2050 (GWh original)'!A111),('Sankey2050 (GWh original)'!A111)/277.8,'Sankey2050 (GWh original)'!A111)</f>
        <v>0</v>
      </c>
      <c r="B111" s="3" t="str">
        <f>IF(ISNUMBER('Sankey2050 (GWh original)'!B111),('Sankey2050 (GWh original)'!B111)/277.8,'Sankey2050 (GWh original)'!B111)</f>
        <v>Photovoltaik</v>
      </c>
      <c r="C111" s="88">
        <f>IF(ISNUMBER('Sankey2050 (GWh original)'!C111),('Sankey2050 (GWh original)'!C111)/277.8,'Sankey2050 (GWh original)'!C111)</f>
        <v>3.0442036975626987</v>
      </c>
      <c r="D111">
        <f>IF(ISNUMBER('Sankey2050 (GWh original)'!D111),('Sankey2050 (GWh original)'!D111)/277.8,'Sankey2050 (GWh original)'!D111)</f>
        <v>0</v>
      </c>
      <c r="E111" s="3" t="str">
        <f>IF(ISNUMBER('Sankey2050 (GWh original)'!E111),('Sankey2050 (GWh original)'!E111)/277.8,'Sankey2050 (GWh original)'!E111)</f>
        <v>Gas für Mobilität</v>
      </c>
      <c r="F111" s="88">
        <f>IF(ISNUMBER('Sankey2050 (GWh original)'!F111),('Sankey2050 (GWh original)'!F111)/277.8,'Sankey2050 (GWh original)'!F111)</f>
        <v>14.998801295896332</v>
      </c>
      <c r="G111" s="1">
        <f>IF(ISNUMBER('Sankey2050 (GWh original)'!G111),('Sankey2050 (GWh original)'!G111)/277.8,'Sankey2050 (GWh original)'!G111)</f>
        <v>0</v>
      </c>
      <c r="H111">
        <f>IF(ISNUMBER('Sankey2050 (GWh original)'!H111),('Sankey2050 (GWh original)'!H111)/277.8,'Sankey2050 (GWh original)'!H111)</f>
        <v>0</v>
      </c>
      <c r="I111">
        <f>IF(ISNUMBER('Sankey2050 (GWh original)'!I111),('Sankey2050 (GWh original)'!I111)/277.8,'Sankey2050 (GWh original)'!I111)</f>
        <v>0</v>
      </c>
      <c r="J111">
        <f>IF(ISNUMBER('Sankey2050 (GWh original)'!J111),('Sankey2050 (GWh original)'!J111)/277.8,'Sankey2050 (GWh original)'!J111)</f>
        <v>0</v>
      </c>
      <c r="K111">
        <f>IF(ISNUMBER('Sankey2050 (GWh original)'!K111),('Sankey2050 (GWh original)'!K111)/277.8,'Sankey2050 (GWh original)'!K111)</f>
        <v>0</v>
      </c>
      <c r="L111">
        <f>IF(ISNUMBER('Sankey2050 (GWh original)'!L111),('Sankey2050 (GWh original)'!L111)/277.8,'Sankey2050 (GWh original)'!L111)</f>
        <v>0</v>
      </c>
      <c r="M111">
        <f>IF(ISNUMBER('Sankey2050 (GWh original)'!M111),('Sankey2050 (GWh original)'!M111)/277.8,'Sankey2050 (GWh original)'!M111)</f>
        <v>0</v>
      </c>
      <c r="N111">
        <f>IF(ISNUMBER('Sankey2050 (GWh original)'!N111),('Sankey2050 (GWh original)'!N111)/277.8,'Sankey2050 (GWh original)'!N111)</f>
        <v>0</v>
      </c>
    </row>
    <row r="112" spans="1:14" x14ac:dyDescent="0.25">
      <c r="A112">
        <f>IF(ISNUMBER('Sankey2050 (GWh original)'!A112),('Sankey2050 (GWh original)'!A112)/277.8,'Sankey2050 (GWh original)'!A112)</f>
        <v>0</v>
      </c>
      <c r="B112" s="3" t="str">
        <f>IF(ISNUMBER('Sankey2050 (GWh original)'!B112),('Sankey2050 (GWh original)'!B112)/277.8,'Sankey2050 (GWh original)'!B112)</f>
        <v>Solarthermie</v>
      </c>
      <c r="C112" s="88">
        <f>IF(ISNUMBER('Sankey2050 (GWh original)'!C112),('Sankey2050 (GWh original)'!C112)/277.8,'Sankey2050 (GWh original)'!C112)</f>
        <v>0</v>
      </c>
      <c r="D112">
        <f>IF(ISNUMBER('Sankey2050 (GWh original)'!D112),('Sankey2050 (GWh original)'!D112)/277.8,'Sankey2050 (GWh original)'!D112)</f>
        <v>0</v>
      </c>
      <c r="E112" s="2" t="str">
        <f>IF(ISNUMBER('Sankey2050 (GWh original)'!E112),('Sankey2050 (GWh original)'!E112)/277.8,'Sankey2050 (GWh original)'!E112)</f>
        <v>Verluste</v>
      </c>
      <c r="F112" s="37">
        <f>IF(ISNUMBER('Sankey2050 (GWh original)'!F112),('Sankey2050 (GWh original)'!F112)/277.8,'Sankey2050 (GWh original)'!F112)</f>
        <v>2.9997602591792574</v>
      </c>
      <c r="G112">
        <f>IF(ISNUMBER('Sankey2050 (GWh original)'!G112),('Sankey2050 (GWh original)'!G112)/277.8,'Sankey2050 (GWh original)'!G112)</f>
        <v>0</v>
      </c>
      <c r="H112">
        <f>IF(ISNUMBER('Sankey2050 (GWh original)'!H112),('Sankey2050 (GWh original)'!H112)/277.8,'Sankey2050 (GWh original)'!H112)</f>
        <v>0</v>
      </c>
      <c r="I112">
        <f>IF(ISNUMBER('Sankey2050 (GWh original)'!I112),('Sankey2050 (GWh original)'!I112)/277.8,'Sankey2050 (GWh original)'!I112)</f>
        <v>0</v>
      </c>
      <c r="J112">
        <f>IF(ISNUMBER('Sankey2050 (GWh original)'!J112),('Sankey2050 (GWh original)'!J112)/277.8,'Sankey2050 (GWh original)'!J112)</f>
        <v>0</v>
      </c>
      <c r="K112">
        <f>IF(ISNUMBER('Sankey2050 (GWh original)'!K112),('Sankey2050 (GWh original)'!K112)/277.8,'Sankey2050 (GWh original)'!K112)</f>
        <v>0</v>
      </c>
      <c r="L112">
        <f>IF(ISNUMBER('Sankey2050 (GWh original)'!L112),('Sankey2050 (GWh original)'!L112)/277.8,'Sankey2050 (GWh original)'!L112)</f>
        <v>0</v>
      </c>
      <c r="M112">
        <f>IF(ISNUMBER('Sankey2050 (GWh original)'!M112),('Sankey2050 (GWh original)'!M112)/277.8,'Sankey2050 (GWh original)'!M112)</f>
        <v>0</v>
      </c>
      <c r="N112">
        <f>IF(ISNUMBER('Sankey2050 (GWh original)'!N112),('Sankey2050 (GWh original)'!N112)/277.8,'Sankey2050 (GWh original)'!N112)</f>
        <v>0</v>
      </c>
    </row>
    <row r="113" spans="1:14" x14ac:dyDescent="0.25">
      <c r="A113">
        <f>IF(ISNUMBER('Sankey2050 (GWh original)'!A113),('Sankey2050 (GWh original)'!A113)/277.8,'Sankey2050 (GWh original)'!A113)</f>
        <v>0</v>
      </c>
      <c r="B113" s="3" t="str">
        <f>IF(ISNUMBER('Sankey2050 (GWh original)'!B113),('Sankey2050 (GWh original)'!B113)/277.8,'Sankey2050 (GWh original)'!B113)</f>
        <v>Oberflächennahe Umweltwärme</v>
      </c>
      <c r="C113" s="88">
        <f>IF(ISNUMBER('Sankey2050 (GWh original)'!C113),('Sankey2050 (GWh original)'!C113)/277.8,'Sankey2050 (GWh original)'!C113)</f>
        <v>0</v>
      </c>
      <c r="D113">
        <f>IF(ISNUMBER('Sankey2050 (GWh original)'!D113),('Sankey2050 (GWh original)'!D113)/277.8,'Sankey2050 (GWh original)'!D113)</f>
        <v>0</v>
      </c>
      <c r="E113">
        <f>IF(ISNUMBER('Sankey2050 (GWh original)'!E113),('Sankey2050 (GWh original)'!E113)/277.8,'Sankey2050 (GWh original)'!E113)</f>
        <v>0</v>
      </c>
      <c r="F113">
        <f>IF(ISNUMBER('Sankey2050 (GWh original)'!F113),('Sankey2050 (GWh original)'!F113)/277.8,'Sankey2050 (GWh original)'!F113)</f>
        <v>0</v>
      </c>
      <c r="G113">
        <f>IF(ISNUMBER('Sankey2050 (GWh original)'!G113),('Sankey2050 (GWh original)'!G113)/277.8,'Sankey2050 (GWh original)'!G113)</f>
        <v>0</v>
      </c>
      <c r="H113">
        <f>IF(ISNUMBER('Sankey2050 (GWh original)'!H113),('Sankey2050 (GWh original)'!H113)/277.8,'Sankey2050 (GWh original)'!H113)</f>
        <v>0</v>
      </c>
      <c r="I113">
        <f>IF(ISNUMBER('Sankey2050 (GWh original)'!I113),('Sankey2050 (GWh original)'!I113)/277.8,'Sankey2050 (GWh original)'!I113)</f>
        <v>0</v>
      </c>
      <c r="J113">
        <f>IF(ISNUMBER('Sankey2050 (GWh original)'!J113),('Sankey2050 (GWh original)'!J113)/277.8,'Sankey2050 (GWh original)'!J113)</f>
        <v>0</v>
      </c>
      <c r="K113">
        <f>IF(ISNUMBER('Sankey2050 (GWh original)'!K113),('Sankey2050 (GWh original)'!K113)/277.8,'Sankey2050 (GWh original)'!K113)</f>
        <v>0</v>
      </c>
      <c r="L113">
        <f>IF(ISNUMBER('Sankey2050 (GWh original)'!L113),('Sankey2050 (GWh original)'!L113)/277.8,'Sankey2050 (GWh original)'!L113)</f>
        <v>0</v>
      </c>
      <c r="M113">
        <f>IF(ISNUMBER('Sankey2050 (GWh original)'!M113),('Sankey2050 (GWh original)'!M113)/277.8,'Sankey2050 (GWh original)'!M113)</f>
        <v>0</v>
      </c>
      <c r="N113">
        <f>IF(ISNUMBER('Sankey2050 (GWh original)'!N113),('Sankey2050 (GWh original)'!N113)/277.8,'Sankey2050 (GWh original)'!N113)</f>
        <v>0</v>
      </c>
    </row>
    <row r="114" spans="1:14" x14ac:dyDescent="0.25">
      <c r="A114">
        <f>IF(ISNUMBER('Sankey2050 (GWh original)'!A114),('Sankey2050 (GWh original)'!A114)/277.8,'Sankey2050 (GWh original)'!A114)</f>
        <v>0</v>
      </c>
      <c r="B114" s="14" t="str">
        <f>IF(ISNUMBER('Sankey2050 (GWh original)'!B114),('Sankey2050 (GWh original)'!B114)/277.8,'Sankey2050 (GWh original)'!B114)</f>
        <v>Summe</v>
      </c>
      <c r="C114" s="15">
        <f>IF(ISNUMBER('Sankey2050 (GWh original)'!C114),('Sankey2050 (GWh original)'!C114)/277.8,'Sankey2050 (GWh original)'!C114)</f>
        <v>3.0442036975626987</v>
      </c>
      <c r="D114">
        <f>IF(ISNUMBER('Sankey2050 (GWh original)'!D114),('Sankey2050 (GWh original)'!D114)/277.8,'Sankey2050 (GWh original)'!D114)</f>
        <v>0</v>
      </c>
      <c r="E114">
        <f>IF(ISNUMBER('Sankey2050 (GWh original)'!E114),('Sankey2050 (GWh original)'!E114)/277.8,'Sankey2050 (GWh original)'!E114)</f>
        <v>0</v>
      </c>
      <c r="F114">
        <f>IF(ISNUMBER('Sankey2050 (GWh original)'!F114),('Sankey2050 (GWh original)'!F114)/277.8,'Sankey2050 (GWh original)'!F114)</f>
        <v>0</v>
      </c>
      <c r="G114">
        <f>IF(ISNUMBER('Sankey2050 (GWh original)'!G114),('Sankey2050 (GWh original)'!G114)/277.8,'Sankey2050 (GWh original)'!G114)</f>
        <v>0</v>
      </c>
      <c r="H114">
        <f>IF(ISNUMBER('Sankey2050 (GWh original)'!H114),('Sankey2050 (GWh original)'!H114)/277.8,'Sankey2050 (GWh original)'!H114)</f>
        <v>0</v>
      </c>
      <c r="I114">
        <f>IF(ISNUMBER('Sankey2050 (GWh original)'!I114),('Sankey2050 (GWh original)'!I114)/277.8,'Sankey2050 (GWh original)'!I114)</f>
        <v>0</v>
      </c>
      <c r="J114">
        <f>IF(ISNUMBER('Sankey2050 (GWh original)'!J114),('Sankey2050 (GWh original)'!J114)/277.8,'Sankey2050 (GWh original)'!J114)</f>
        <v>0</v>
      </c>
      <c r="K114">
        <f>IF(ISNUMBER('Sankey2050 (GWh original)'!K114),('Sankey2050 (GWh original)'!K114)/277.8,'Sankey2050 (GWh original)'!K114)</f>
        <v>0</v>
      </c>
      <c r="L114">
        <f>IF(ISNUMBER('Sankey2050 (GWh original)'!L114),('Sankey2050 (GWh original)'!L114)/277.8,'Sankey2050 (GWh original)'!L114)</f>
        <v>0</v>
      </c>
      <c r="M114">
        <f>IF(ISNUMBER('Sankey2050 (GWh original)'!M114),('Sankey2050 (GWh original)'!M114)/277.8,'Sankey2050 (GWh original)'!M114)</f>
        <v>0</v>
      </c>
      <c r="N114">
        <f>IF(ISNUMBER('Sankey2050 (GWh original)'!N114),('Sankey2050 (GWh original)'!N114)/277.8,'Sankey2050 (GWh original)'!N114)</f>
        <v>0</v>
      </c>
    </row>
    <row r="115" spans="1:14" x14ac:dyDescent="0.25">
      <c r="A115">
        <f>IF(ISNUMBER('Sankey2050 (GWh original)'!A115),('Sankey2050 (GWh original)'!A115)/277.8,'Sankey2050 (GWh original)'!A115)</f>
        <v>0</v>
      </c>
      <c r="B115" s="16" t="str">
        <f>IF(ISNUMBER('Sankey2050 (GWh original)'!B115),('Sankey2050 (GWh original)'!B115)/277.8,'Sankey2050 (GWh original)'!B115)</f>
        <v>Gesamtsumme</v>
      </c>
      <c r="C115" s="17">
        <f>IF(ISNUMBER('Sankey2050 (GWh original)'!C115),('Sankey2050 (GWh original)'!C115)/277.8,'Sankey2050 (GWh original)'!C115)</f>
        <v>14.998801295896328</v>
      </c>
      <c r="D115">
        <f>IF(ISNUMBER('Sankey2050 (GWh original)'!D115),('Sankey2050 (GWh original)'!D115)/277.8,'Sankey2050 (GWh original)'!D115)</f>
        <v>0</v>
      </c>
      <c r="E115">
        <f>IF(ISNUMBER('Sankey2050 (GWh original)'!E115),('Sankey2050 (GWh original)'!E115)/277.8,'Sankey2050 (GWh original)'!E115)</f>
        <v>0</v>
      </c>
      <c r="F115">
        <f>IF(ISNUMBER('Sankey2050 (GWh original)'!F115),('Sankey2050 (GWh original)'!F115)/277.8,'Sankey2050 (GWh original)'!F115)</f>
        <v>0</v>
      </c>
      <c r="G115">
        <f>IF(ISNUMBER('Sankey2050 (GWh original)'!G115),('Sankey2050 (GWh original)'!G115)/277.8,'Sankey2050 (GWh original)'!G115)</f>
        <v>0</v>
      </c>
      <c r="H115">
        <f>IF(ISNUMBER('Sankey2050 (GWh original)'!H115),('Sankey2050 (GWh original)'!H115)/277.8,'Sankey2050 (GWh original)'!H115)</f>
        <v>0</v>
      </c>
      <c r="I115">
        <f>IF(ISNUMBER('Sankey2050 (GWh original)'!I115),('Sankey2050 (GWh original)'!I115)/277.8,'Sankey2050 (GWh original)'!I115)</f>
        <v>0</v>
      </c>
      <c r="J115">
        <f>IF(ISNUMBER('Sankey2050 (GWh original)'!J115),('Sankey2050 (GWh original)'!J115)/277.8,'Sankey2050 (GWh original)'!J115)</f>
        <v>0</v>
      </c>
      <c r="K115">
        <f>IF(ISNUMBER('Sankey2050 (GWh original)'!K115),('Sankey2050 (GWh original)'!K115)/277.8,'Sankey2050 (GWh original)'!K115)</f>
        <v>0</v>
      </c>
      <c r="L115">
        <f>IF(ISNUMBER('Sankey2050 (GWh original)'!L115),('Sankey2050 (GWh original)'!L115)/277.8,'Sankey2050 (GWh original)'!L115)</f>
        <v>0</v>
      </c>
      <c r="M115">
        <f>IF(ISNUMBER('Sankey2050 (GWh original)'!M115),('Sankey2050 (GWh original)'!M115)/277.8,'Sankey2050 (GWh original)'!M115)</f>
        <v>0</v>
      </c>
      <c r="N115">
        <f>IF(ISNUMBER('Sankey2050 (GWh original)'!N115),('Sankey2050 (GWh original)'!N115)/277.8,'Sankey2050 (GWh original)'!N115)</f>
        <v>0</v>
      </c>
    </row>
    <row r="116" spans="1:14" x14ac:dyDescent="0.25">
      <c r="A116">
        <f>IF(ISNUMBER('Sankey2050 (GWh original)'!A116),('Sankey2050 (GWh original)'!A116)/277.8,'Sankey2050 (GWh original)'!A116)</f>
        <v>0</v>
      </c>
      <c r="B116">
        <f>IF(ISNUMBER('Sankey2050 (GWh original)'!B116),('Sankey2050 (GWh original)'!B116)/277.8,'Sankey2050 (GWh original)'!B116)</f>
        <v>0</v>
      </c>
      <c r="C116">
        <f>IF(ISNUMBER('Sankey2050 (GWh original)'!C116),('Sankey2050 (GWh original)'!C116)/277.8,'Sankey2050 (GWh original)'!C116)</f>
        <v>0</v>
      </c>
      <c r="D116">
        <f>IF(ISNUMBER('Sankey2050 (GWh original)'!D116),('Sankey2050 (GWh original)'!D116)/277.8,'Sankey2050 (GWh original)'!D116)</f>
        <v>0</v>
      </c>
      <c r="E116">
        <f>IF(ISNUMBER('Sankey2050 (GWh original)'!E116),('Sankey2050 (GWh original)'!E116)/277.8,'Sankey2050 (GWh original)'!E116)</f>
        <v>0</v>
      </c>
      <c r="F116">
        <f>IF(ISNUMBER('Sankey2050 (GWh original)'!F116),('Sankey2050 (GWh original)'!F116)/277.8,'Sankey2050 (GWh original)'!F116)</f>
        <v>0</v>
      </c>
      <c r="G116">
        <f>IF(ISNUMBER('Sankey2050 (GWh original)'!G116),('Sankey2050 (GWh original)'!G116)/277.8,'Sankey2050 (GWh original)'!G116)</f>
        <v>0</v>
      </c>
      <c r="H116">
        <f>IF(ISNUMBER('Sankey2050 (GWh original)'!H116),('Sankey2050 (GWh original)'!H116)/277.8,'Sankey2050 (GWh original)'!H116)</f>
        <v>0</v>
      </c>
      <c r="I116">
        <f>IF(ISNUMBER('Sankey2050 (GWh original)'!I116),('Sankey2050 (GWh original)'!I116)/277.8,'Sankey2050 (GWh original)'!I116)</f>
        <v>0</v>
      </c>
      <c r="J116">
        <f>IF(ISNUMBER('Sankey2050 (GWh original)'!J116),('Sankey2050 (GWh original)'!J116)/277.8,'Sankey2050 (GWh original)'!J116)</f>
        <v>0</v>
      </c>
      <c r="K116">
        <f>IF(ISNUMBER('Sankey2050 (GWh original)'!K116),('Sankey2050 (GWh original)'!K116)/277.8,'Sankey2050 (GWh original)'!K116)</f>
        <v>0</v>
      </c>
      <c r="L116">
        <f>IF(ISNUMBER('Sankey2050 (GWh original)'!L116),('Sankey2050 (GWh original)'!L116)/277.8,'Sankey2050 (GWh original)'!L116)</f>
        <v>0</v>
      </c>
      <c r="M116">
        <f>IF(ISNUMBER('Sankey2050 (GWh original)'!M116),('Sankey2050 (GWh original)'!M116)/277.8,'Sankey2050 (GWh original)'!M116)</f>
        <v>0</v>
      </c>
      <c r="N116">
        <f>IF(ISNUMBER('Sankey2050 (GWh original)'!N116),('Sankey2050 (GWh original)'!N116)/277.8,'Sankey2050 (GWh original)'!N116)</f>
        <v>0</v>
      </c>
    </row>
    <row r="117" spans="1:14" x14ac:dyDescent="0.25">
      <c r="A117">
        <f>IF(ISNUMBER('Sankey2050 (GWh original)'!A117),('Sankey2050 (GWh original)'!A117)/277.8,'Sankey2050 (GWh original)'!A117)</f>
        <v>0</v>
      </c>
      <c r="B117">
        <f>IF(ISNUMBER('Sankey2050 (GWh original)'!B117),('Sankey2050 (GWh original)'!B117)/277.8,'Sankey2050 (GWh original)'!B117)</f>
        <v>0</v>
      </c>
      <c r="C117">
        <f>IF(ISNUMBER('Sankey2050 (GWh original)'!C117),('Sankey2050 (GWh original)'!C117)/277.8,'Sankey2050 (GWh original)'!C117)</f>
        <v>0</v>
      </c>
      <c r="D117">
        <f>IF(ISNUMBER('Sankey2050 (GWh original)'!D117),('Sankey2050 (GWh original)'!D117)/277.8,'Sankey2050 (GWh original)'!D117)</f>
        <v>0</v>
      </c>
      <c r="E117">
        <f>IF(ISNUMBER('Sankey2050 (GWh original)'!E117),('Sankey2050 (GWh original)'!E117)/277.8,'Sankey2050 (GWh original)'!E117)</f>
        <v>0</v>
      </c>
      <c r="F117">
        <f>IF(ISNUMBER('Sankey2050 (GWh original)'!F117),('Sankey2050 (GWh original)'!F117)/277.8,'Sankey2050 (GWh original)'!F117)</f>
        <v>0</v>
      </c>
      <c r="G117">
        <f>IF(ISNUMBER('Sankey2050 (GWh original)'!G117),('Sankey2050 (GWh original)'!G117)/277.8,'Sankey2050 (GWh original)'!G117)</f>
        <v>0</v>
      </c>
      <c r="H117">
        <f>IF(ISNUMBER('Sankey2050 (GWh original)'!H117),('Sankey2050 (GWh original)'!H117)/277.8,'Sankey2050 (GWh original)'!H117)</f>
        <v>0</v>
      </c>
      <c r="I117">
        <f>IF(ISNUMBER('Sankey2050 (GWh original)'!I117),('Sankey2050 (GWh original)'!I117)/277.8,'Sankey2050 (GWh original)'!I117)</f>
        <v>0</v>
      </c>
      <c r="J117">
        <f>IF(ISNUMBER('Sankey2050 (GWh original)'!J117),('Sankey2050 (GWh original)'!J117)/277.8,'Sankey2050 (GWh original)'!J117)</f>
        <v>0</v>
      </c>
      <c r="K117">
        <f>IF(ISNUMBER('Sankey2050 (GWh original)'!K117),('Sankey2050 (GWh original)'!K117)/277.8,'Sankey2050 (GWh original)'!K117)</f>
        <v>0</v>
      </c>
      <c r="L117">
        <f>IF(ISNUMBER('Sankey2050 (GWh original)'!L117),('Sankey2050 (GWh original)'!L117)/277.8,'Sankey2050 (GWh original)'!L117)</f>
        <v>0</v>
      </c>
      <c r="M117">
        <f>IF(ISNUMBER('Sankey2050 (GWh original)'!M117),('Sankey2050 (GWh original)'!M117)/277.8,'Sankey2050 (GWh original)'!M117)</f>
        <v>0</v>
      </c>
      <c r="N117">
        <f>IF(ISNUMBER('Sankey2050 (GWh original)'!N117),('Sankey2050 (GWh original)'!N117)/277.8,'Sankey2050 (GWh original)'!N117)</f>
        <v>0</v>
      </c>
    </row>
    <row r="118" spans="1:14" x14ac:dyDescent="0.25">
      <c r="A118">
        <f>IF(ISNUMBER('Sankey2050 (GWh original)'!A118),('Sankey2050 (GWh original)'!A118)/277.8,'Sankey2050 (GWh original)'!A118)</f>
        <v>0</v>
      </c>
      <c r="B118" s="31" t="str">
        <f>IF(ISNUMBER('Sankey2050 (GWh original)'!B118),('Sankey2050 (GWh original)'!B118)/277.8,'Sankey2050 (GWh original)'!B118)</f>
        <v>Kraftstoffe [GWh]</v>
      </c>
      <c r="C118" s="88">
        <f>IF(ISNUMBER('Sankey2050 (GWh original)'!C118),('Sankey2050 (GWh original)'!C118)/277.8,'Sankey2050 (GWh original)'!C118)</f>
        <v>39.996803455723544</v>
      </c>
      <c r="D118">
        <f>IF(ISNUMBER('Sankey2050 (GWh original)'!D118),('Sankey2050 (GWh original)'!D118)/277.8,'Sankey2050 (GWh original)'!D118)</f>
        <v>0</v>
      </c>
      <c r="E118" s="3" t="str">
        <f>IF(ISNUMBER('Sankey2050 (GWh original)'!E118),('Sankey2050 (GWh original)'!E118)/277.8,'Sankey2050 (GWh original)'!E118)</f>
        <v>Mobilität</v>
      </c>
      <c r="F118" s="23">
        <f>IF(ISNUMBER('Sankey2050 (GWh original)'!F118),('Sankey2050 (GWh original)'!F118)/277.8,'Sankey2050 (GWh original)'!F118)</f>
        <v>41.077669453872261</v>
      </c>
      <c r="G118">
        <f>IF(ISNUMBER('Sankey2050 (GWh original)'!G118),('Sankey2050 (GWh original)'!G118)/277.8,'Sankey2050 (GWh original)'!G118)</f>
        <v>0</v>
      </c>
      <c r="H118">
        <f>IF(ISNUMBER('Sankey2050 (GWh original)'!H118),('Sankey2050 (GWh original)'!H118)/277.8,'Sankey2050 (GWh original)'!H118)</f>
        <v>0</v>
      </c>
      <c r="I118">
        <f>IF(ISNUMBER('Sankey2050 (GWh original)'!I118),('Sankey2050 (GWh original)'!I118)/277.8,'Sankey2050 (GWh original)'!I118)</f>
        <v>0</v>
      </c>
      <c r="J118">
        <f>IF(ISNUMBER('Sankey2050 (GWh original)'!J118),('Sankey2050 (GWh original)'!J118)/277.8,'Sankey2050 (GWh original)'!J118)</f>
        <v>0</v>
      </c>
      <c r="K118">
        <f>IF(ISNUMBER('Sankey2050 (GWh original)'!K118),('Sankey2050 (GWh original)'!K118)/277.8,'Sankey2050 (GWh original)'!K118)</f>
        <v>0</v>
      </c>
      <c r="L118">
        <f>IF(ISNUMBER('Sankey2050 (GWh original)'!L118),('Sankey2050 (GWh original)'!L118)/277.8,'Sankey2050 (GWh original)'!L118)</f>
        <v>0</v>
      </c>
      <c r="M118">
        <f>IF(ISNUMBER('Sankey2050 (GWh original)'!M118),('Sankey2050 (GWh original)'!M118)/277.8,'Sankey2050 (GWh original)'!M118)</f>
        <v>0</v>
      </c>
      <c r="N118">
        <f>IF(ISNUMBER('Sankey2050 (GWh original)'!N118),('Sankey2050 (GWh original)'!N118)/277.8,'Sankey2050 (GWh original)'!N118)</f>
        <v>0</v>
      </c>
    </row>
    <row r="119" spans="1:14" x14ac:dyDescent="0.25">
      <c r="A119">
        <f>IF(ISNUMBER('Sankey2050 (GWh original)'!A119),('Sankey2050 (GWh original)'!A119)/277.8,'Sankey2050 (GWh original)'!A119)</f>
        <v>0</v>
      </c>
      <c r="B119" s="3" t="str">
        <f>IF(ISNUMBER('Sankey2050 (GWh original)'!B119),('Sankey2050 (GWh original)'!B119)/277.8,'Sankey2050 (GWh original)'!B119)</f>
        <v>Biomasse</v>
      </c>
      <c r="C119" s="88">
        <f>IF(ISNUMBER('Sankey2050 (GWh original)'!C119),('Sankey2050 (GWh original)'!C119)/277.8,'Sankey2050 (GWh original)'!C119)</f>
        <v>22.698185961123109</v>
      </c>
      <c r="D119" s="9">
        <f>IF(ISNUMBER('Sankey2050 (GWh original)'!D119),('Sankey2050 (GWh original)'!D119)/277.8,'Sankey2050 (GWh original)'!D119)</f>
        <v>0</v>
      </c>
      <c r="E119">
        <f>IF(ISNUMBER('Sankey2050 (GWh original)'!E119),('Sankey2050 (GWh original)'!E119)/277.8,'Sankey2050 (GWh original)'!E119)</f>
        <v>0</v>
      </c>
      <c r="F119">
        <f>IF(ISNUMBER('Sankey2050 (GWh original)'!F119),('Sankey2050 (GWh original)'!F119)/277.8,'Sankey2050 (GWh original)'!F119)</f>
        <v>0</v>
      </c>
      <c r="G119">
        <f>IF(ISNUMBER('Sankey2050 (GWh original)'!G119),('Sankey2050 (GWh original)'!G119)/277.8,'Sankey2050 (GWh original)'!G119)</f>
        <v>0</v>
      </c>
      <c r="H119">
        <f>IF(ISNUMBER('Sankey2050 (GWh original)'!H119),('Sankey2050 (GWh original)'!H119)/277.8,'Sankey2050 (GWh original)'!H119)</f>
        <v>0</v>
      </c>
      <c r="I119">
        <f>IF(ISNUMBER('Sankey2050 (GWh original)'!I119),('Sankey2050 (GWh original)'!I119)/277.8,'Sankey2050 (GWh original)'!I119)</f>
        <v>0</v>
      </c>
      <c r="J119">
        <f>IF(ISNUMBER('Sankey2050 (GWh original)'!J119),('Sankey2050 (GWh original)'!J119)/277.8,'Sankey2050 (GWh original)'!J119)</f>
        <v>0</v>
      </c>
      <c r="K119">
        <f>IF(ISNUMBER('Sankey2050 (GWh original)'!K119),('Sankey2050 (GWh original)'!K119)/277.8,'Sankey2050 (GWh original)'!K119)</f>
        <v>0</v>
      </c>
      <c r="L119">
        <f>IF(ISNUMBER('Sankey2050 (GWh original)'!L119),('Sankey2050 (GWh original)'!L119)/277.8,'Sankey2050 (GWh original)'!L119)</f>
        <v>0</v>
      </c>
      <c r="M119">
        <f>IF(ISNUMBER('Sankey2050 (GWh original)'!M119),('Sankey2050 (GWh original)'!M119)/277.8,'Sankey2050 (GWh original)'!M119)</f>
        <v>0</v>
      </c>
      <c r="N119">
        <f>IF(ISNUMBER('Sankey2050 (GWh original)'!N119),('Sankey2050 (GWh original)'!N119)/277.8,'Sankey2050 (GWh original)'!N119)</f>
        <v>0</v>
      </c>
    </row>
    <row r="120" spans="1:14" x14ac:dyDescent="0.25">
      <c r="A120">
        <f>IF(ISNUMBER('Sankey2050 (GWh original)'!A120),('Sankey2050 (GWh original)'!A120)/277.8,'Sankey2050 (GWh original)'!A120)</f>
        <v>0</v>
      </c>
      <c r="B120" s="3" t="str">
        <f>IF(ISNUMBER('Sankey2050 (GWh original)'!B120),('Sankey2050 (GWh original)'!B120)/277.8,'Sankey2050 (GWh original)'!B120)</f>
        <v>Meth. Wasserkraft</v>
      </c>
      <c r="C120" s="88">
        <f>IF(ISNUMBER('Sankey2050 (GWh original)'!C120),('Sankey2050 (GWh original)'!C120)/277.8,'Sankey2050 (GWh original)'!C120)</f>
        <v>9.5635912213926542</v>
      </c>
      <c r="D120">
        <f>IF(ISNUMBER('Sankey2050 (GWh original)'!D120),('Sankey2050 (GWh original)'!D120)/277.8,'Sankey2050 (GWh original)'!D120)</f>
        <v>0</v>
      </c>
      <c r="E120">
        <f>IF(ISNUMBER('Sankey2050 (GWh original)'!E120),('Sankey2050 (GWh original)'!E120)/277.8,'Sankey2050 (GWh original)'!E120)</f>
        <v>0</v>
      </c>
      <c r="F120">
        <f>IF(ISNUMBER('Sankey2050 (GWh original)'!F120),('Sankey2050 (GWh original)'!F120)/277.8,'Sankey2050 (GWh original)'!F120)</f>
        <v>0</v>
      </c>
      <c r="G120">
        <f>IF(ISNUMBER('Sankey2050 (GWh original)'!G120),('Sankey2050 (GWh original)'!G120)/277.8,'Sankey2050 (GWh original)'!G120)</f>
        <v>0</v>
      </c>
      <c r="H120">
        <f>IF(ISNUMBER('Sankey2050 (GWh original)'!H120),('Sankey2050 (GWh original)'!H120)/277.8,'Sankey2050 (GWh original)'!H120)</f>
        <v>0</v>
      </c>
      <c r="I120">
        <f>IF(ISNUMBER('Sankey2050 (GWh original)'!I120),('Sankey2050 (GWh original)'!I120)/277.8,'Sankey2050 (GWh original)'!I120)</f>
        <v>0</v>
      </c>
      <c r="J120">
        <f>IF(ISNUMBER('Sankey2050 (GWh original)'!J120),('Sankey2050 (GWh original)'!J120)/277.8,'Sankey2050 (GWh original)'!J120)</f>
        <v>0</v>
      </c>
      <c r="K120">
        <f>IF(ISNUMBER('Sankey2050 (GWh original)'!K120),('Sankey2050 (GWh original)'!K120)/277.8,'Sankey2050 (GWh original)'!K120)</f>
        <v>0</v>
      </c>
      <c r="L120">
        <f>IF(ISNUMBER('Sankey2050 (GWh original)'!L120),('Sankey2050 (GWh original)'!L120)/277.8,'Sankey2050 (GWh original)'!L120)</f>
        <v>0</v>
      </c>
      <c r="M120">
        <f>IF(ISNUMBER('Sankey2050 (GWh original)'!M120),('Sankey2050 (GWh original)'!M120)/277.8,'Sankey2050 (GWh original)'!M120)</f>
        <v>0</v>
      </c>
      <c r="N120">
        <f>IF(ISNUMBER('Sankey2050 (GWh original)'!N120),('Sankey2050 (GWh original)'!N120)/277.8,'Sankey2050 (GWh original)'!N120)</f>
        <v>0</v>
      </c>
    </row>
    <row r="121" spans="1:14" x14ac:dyDescent="0.25">
      <c r="A121">
        <f>IF(ISNUMBER('Sankey2050 (GWh original)'!A121),('Sankey2050 (GWh original)'!A121)/277.8,'Sankey2050 (GWh original)'!A121)</f>
        <v>0</v>
      </c>
      <c r="B121" s="3" t="str">
        <f>IF(ISNUMBER('Sankey2050 (GWh original)'!B121),('Sankey2050 (GWh original)'!B121)/277.8,'Sankey2050 (GWh original)'!B121)</f>
        <v>Meth. Windenergie</v>
      </c>
      <c r="C121" s="88">
        <f>IF(ISNUMBER('Sankey2050 (GWh original)'!C121),('Sankey2050 (GWh original)'!C121)/277.8,'Sankey2050 (GWh original)'!C121)</f>
        <v>3.9732374437967661</v>
      </c>
      <c r="D121">
        <f>IF(ISNUMBER('Sankey2050 (GWh original)'!D121),('Sankey2050 (GWh original)'!D121)/277.8,'Sankey2050 (GWh original)'!D121)</f>
        <v>0</v>
      </c>
      <c r="E121">
        <f>IF(ISNUMBER('Sankey2050 (GWh original)'!E121),('Sankey2050 (GWh original)'!E121)/277.8,'Sankey2050 (GWh original)'!E121)</f>
        <v>0</v>
      </c>
      <c r="F121">
        <f>IF(ISNUMBER('Sankey2050 (GWh original)'!F121),('Sankey2050 (GWh original)'!F121)/277.8,'Sankey2050 (GWh original)'!F121)</f>
        <v>0</v>
      </c>
      <c r="G121">
        <f>IF(ISNUMBER('Sankey2050 (GWh original)'!G121),('Sankey2050 (GWh original)'!G121)/277.8,'Sankey2050 (GWh original)'!G121)</f>
        <v>0</v>
      </c>
      <c r="H121">
        <f>IF(ISNUMBER('Sankey2050 (GWh original)'!H121),('Sankey2050 (GWh original)'!H121)/277.8,'Sankey2050 (GWh original)'!H121)</f>
        <v>0</v>
      </c>
      <c r="I121">
        <f>IF(ISNUMBER('Sankey2050 (GWh original)'!I121),('Sankey2050 (GWh original)'!I121)/277.8,'Sankey2050 (GWh original)'!I121)</f>
        <v>0</v>
      </c>
      <c r="J121">
        <f>IF(ISNUMBER('Sankey2050 (GWh original)'!J121),('Sankey2050 (GWh original)'!J121)/277.8,'Sankey2050 (GWh original)'!J121)</f>
        <v>0</v>
      </c>
      <c r="K121">
        <f>IF(ISNUMBER('Sankey2050 (GWh original)'!K121),('Sankey2050 (GWh original)'!K121)/277.8,'Sankey2050 (GWh original)'!K121)</f>
        <v>0</v>
      </c>
      <c r="L121">
        <f>IF(ISNUMBER('Sankey2050 (GWh original)'!L121),('Sankey2050 (GWh original)'!L121)/277.8,'Sankey2050 (GWh original)'!L121)</f>
        <v>0</v>
      </c>
      <c r="M121">
        <f>IF(ISNUMBER('Sankey2050 (GWh original)'!M121),('Sankey2050 (GWh original)'!M121)/277.8,'Sankey2050 (GWh original)'!M121)</f>
        <v>0</v>
      </c>
      <c r="N121">
        <f>IF(ISNUMBER('Sankey2050 (GWh original)'!N121),('Sankey2050 (GWh original)'!N121)/277.8,'Sankey2050 (GWh original)'!N121)</f>
        <v>0</v>
      </c>
    </row>
    <row r="122" spans="1:14" x14ac:dyDescent="0.25">
      <c r="A122">
        <f>IF(ISNUMBER('Sankey2050 (GWh original)'!A122),('Sankey2050 (GWh original)'!A122)/277.8,'Sankey2050 (GWh original)'!A122)</f>
        <v>0</v>
      </c>
      <c r="B122" s="14" t="str">
        <f>IF(ISNUMBER('Sankey2050 (GWh original)'!B122),('Sankey2050 (GWh original)'!B122)/277.8,'Sankey2050 (GWh original)'!B122)</f>
        <v>Summe</v>
      </c>
      <c r="C122" s="12">
        <f>IF(ISNUMBER('Sankey2050 (GWh original)'!C122),('Sankey2050 (GWh original)'!C122)/277.8,'Sankey2050 (GWh original)'!C122)</f>
        <v>36.235014626312534</v>
      </c>
      <c r="D122" s="9">
        <f>IF(ISNUMBER('Sankey2050 (GWh original)'!D122),('Sankey2050 (GWh original)'!D122)/277.8,'Sankey2050 (GWh original)'!D122)</f>
        <v>0</v>
      </c>
      <c r="E122">
        <f>IF(ISNUMBER('Sankey2050 (GWh original)'!E122),('Sankey2050 (GWh original)'!E122)/277.8,'Sankey2050 (GWh original)'!E122)</f>
        <v>0</v>
      </c>
      <c r="F122">
        <f>IF(ISNUMBER('Sankey2050 (GWh original)'!F122),('Sankey2050 (GWh original)'!F122)/277.8,'Sankey2050 (GWh original)'!F122)</f>
        <v>0</v>
      </c>
      <c r="G122">
        <f>IF(ISNUMBER('Sankey2050 (GWh original)'!G122),('Sankey2050 (GWh original)'!G122)/277.8,'Sankey2050 (GWh original)'!G122)</f>
        <v>0</v>
      </c>
      <c r="H122">
        <f>IF(ISNUMBER('Sankey2050 (GWh original)'!H122),('Sankey2050 (GWh original)'!H122)/277.8,'Sankey2050 (GWh original)'!H122)</f>
        <v>0</v>
      </c>
      <c r="I122">
        <f>IF(ISNUMBER('Sankey2050 (GWh original)'!I122),('Sankey2050 (GWh original)'!I122)/277.8,'Sankey2050 (GWh original)'!I122)</f>
        <v>0</v>
      </c>
      <c r="J122">
        <f>IF(ISNUMBER('Sankey2050 (GWh original)'!J122),('Sankey2050 (GWh original)'!J122)/277.8,'Sankey2050 (GWh original)'!J122)</f>
        <v>0</v>
      </c>
      <c r="K122">
        <f>IF(ISNUMBER('Sankey2050 (GWh original)'!K122),('Sankey2050 (GWh original)'!K122)/277.8,'Sankey2050 (GWh original)'!K122)</f>
        <v>0</v>
      </c>
      <c r="L122">
        <f>IF(ISNUMBER('Sankey2050 (GWh original)'!L122),('Sankey2050 (GWh original)'!L122)/277.8,'Sankey2050 (GWh original)'!L122)</f>
        <v>0</v>
      </c>
      <c r="M122">
        <f>IF(ISNUMBER('Sankey2050 (GWh original)'!M122),('Sankey2050 (GWh original)'!M122)/277.8,'Sankey2050 (GWh original)'!M122)</f>
        <v>0</v>
      </c>
      <c r="N122">
        <f>IF(ISNUMBER('Sankey2050 (GWh original)'!N122),('Sankey2050 (GWh original)'!N122)/277.8,'Sankey2050 (GWh original)'!N122)</f>
        <v>0</v>
      </c>
    </row>
    <row r="123" spans="1:14" x14ac:dyDescent="0.25">
      <c r="A123">
        <f>IF(ISNUMBER('Sankey2050 (GWh original)'!A123),('Sankey2050 (GWh original)'!A123)/277.8,'Sankey2050 (GWh original)'!A123)</f>
        <v>0</v>
      </c>
      <c r="B123" s="3" t="str">
        <f>IF(ISNUMBER('Sankey2050 (GWh original)'!B123),('Sankey2050 (GWh original)'!B123)/277.8,'Sankey2050 (GWh original)'!B123)</f>
        <v>Meth. Photovoltaik</v>
      </c>
      <c r="C123" s="88">
        <f>IF(ISNUMBER('Sankey2050 (GWh original)'!C123),('Sankey2050 (GWh original)'!C123)/277.8,'Sankey2050 (GWh original)'!C123)</f>
        <v>4.842654827559735</v>
      </c>
      <c r="D123">
        <f>IF(ISNUMBER('Sankey2050 (GWh original)'!D123),('Sankey2050 (GWh original)'!D123)/277.8,'Sankey2050 (GWh original)'!D123)</f>
        <v>0</v>
      </c>
      <c r="E123" s="36" t="str">
        <f>IF(ISNUMBER('Sankey2050 (GWh original)'!E123),('Sankey2050 (GWh original)'!E123)/277.8,'Sankey2050 (GWh original)'!E123)</f>
        <v>Kraftstoffe gesamt</v>
      </c>
      <c r="F123" s="30">
        <f>IF(ISNUMBER('Sankey2050 (GWh original)'!F123),('Sankey2050 (GWh original)'!F123)/277.8,'Sankey2050 (GWh original)'!F123)</f>
        <v>39.996803455723544</v>
      </c>
      <c r="G123">
        <f>IF(ISNUMBER('Sankey2050 (GWh original)'!G123),('Sankey2050 (GWh original)'!G123)/277.8,'Sankey2050 (GWh original)'!G123)</f>
        <v>0</v>
      </c>
      <c r="H123">
        <f>IF(ISNUMBER('Sankey2050 (GWh original)'!H123),('Sankey2050 (GWh original)'!H123)/277.8,'Sankey2050 (GWh original)'!H123)</f>
        <v>0</v>
      </c>
      <c r="I123">
        <f>IF(ISNUMBER('Sankey2050 (GWh original)'!I123),('Sankey2050 (GWh original)'!I123)/277.8,'Sankey2050 (GWh original)'!I123)</f>
        <v>0</v>
      </c>
      <c r="J123">
        <f>IF(ISNUMBER('Sankey2050 (GWh original)'!J123),('Sankey2050 (GWh original)'!J123)/277.8,'Sankey2050 (GWh original)'!J123)</f>
        <v>0</v>
      </c>
      <c r="K123">
        <f>IF(ISNUMBER('Sankey2050 (GWh original)'!K123),('Sankey2050 (GWh original)'!K123)/277.8,'Sankey2050 (GWh original)'!K123)</f>
        <v>0</v>
      </c>
      <c r="L123">
        <f>IF(ISNUMBER('Sankey2050 (GWh original)'!L123),('Sankey2050 (GWh original)'!L123)/277.8,'Sankey2050 (GWh original)'!L123)</f>
        <v>0</v>
      </c>
      <c r="M123">
        <f>IF(ISNUMBER('Sankey2050 (GWh original)'!M123),('Sankey2050 (GWh original)'!M123)/277.8,'Sankey2050 (GWh original)'!M123)</f>
        <v>0</v>
      </c>
      <c r="N123">
        <f>IF(ISNUMBER('Sankey2050 (GWh original)'!N123),('Sankey2050 (GWh original)'!N123)/277.8,'Sankey2050 (GWh original)'!N123)</f>
        <v>0</v>
      </c>
    </row>
    <row r="124" spans="1:14" x14ac:dyDescent="0.25">
      <c r="A124">
        <f>IF(ISNUMBER('Sankey2050 (GWh original)'!A124),('Sankey2050 (GWh original)'!A124)/277.8,'Sankey2050 (GWh original)'!A124)</f>
        <v>0</v>
      </c>
      <c r="B124" s="3" t="str">
        <f>IF(ISNUMBER('Sankey2050 (GWh original)'!B124),('Sankey2050 (GWh original)'!B124)/277.8,'Sankey2050 (GWh original)'!B124)</f>
        <v>Solarthermie</v>
      </c>
      <c r="C124" s="88">
        <f>IF(ISNUMBER('Sankey2050 (GWh original)'!C124),('Sankey2050 (GWh original)'!C124)/277.8,'Sankey2050 (GWh original)'!C124)</f>
        <v>0</v>
      </c>
      <c r="D124" s="9">
        <f>IF(ISNUMBER('Sankey2050 (GWh original)'!D124),('Sankey2050 (GWh original)'!D124)/277.8,'Sankey2050 (GWh original)'!D124)</f>
        <v>0</v>
      </c>
      <c r="E124" s="3" t="str">
        <f>IF(ISNUMBER('Sankey2050 (GWh original)'!E124),('Sankey2050 (GWh original)'!E124)/277.8,'Sankey2050 (GWh original)'!E124)</f>
        <v>Kraftstoffe für Mobilität</v>
      </c>
      <c r="F124" s="88">
        <f>IF(ISNUMBER('Sankey2050 (GWh original)'!F124),('Sankey2050 (GWh original)'!F124)/277.8,'Sankey2050 (GWh original)'!F124)</f>
        <v>0</v>
      </c>
      <c r="G124">
        <f>IF(ISNUMBER('Sankey2050 (GWh original)'!G124),('Sankey2050 (GWh original)'!G124)/277.8,'Sankey2050 (GWh original)'!G124)</f>
        <v>0</v>
      </c>
      <c r="H124">
        <f>IF(ISNUMBER('Sankey2050 (GWh original)'!H124),('Sankey2050 (GWh original)'!H124)/277.8,'Sankey2050 (GWh original)'!H124)</f>
        <v>0</v>
      </c>
      <c r="I124">
        <f>IF(ISNUMBER('Sankey2050 (GWh original)'!I124),('Sankey2050 (GWh original)'!I124)/277.8,'Sankey2050 (GWh original)'!I124)</f>
        <v>0</v>
      </c>
      <c r="J124">
        <f>IF(ISNUMBER('Sankey2050 (GWh original)'!J124),('Sankey2050 (GWh original)'!J124)/277.8,'Sankey2050 (GWh original)'!J124)</f>
        <v>0</v>
      </c>
      <c r="K124">
        <f>IF(ISNUMBER('Sankey2050 (GWh original)'!K124),('Sankey2050 (GWh original)'!K124)/277.8,'Sankey2050 (GWh original)'!K124)</f>
        <v>0</v>
      </c>
      <c r="L124">
        <f>IF(ISNUMBER('Sankey2050 (GWh original)'!L124),('Sankey2050 (GWh original)'!L124)/277.8,'Sankey2050 (GWh original)'!L124)</f>
        <v>0</v>
      </c>
      <c r="M124">
        <f>IF(ISNUMBER('Sankey2050 (GWh original)'!M124),('Sankey2050 (GWh original)'!M124)/277.8,'Sankey2050 (GWh original)'!M124)</f>
        <v>0</v>
      </c>
      <c r="N124">
        <f>IF(ISNUMBER('Sankey2050 (GWh original)'!N124),('Sankey2050 (GWh original)'!N124)/277.8,'Sankey2050 (GWh original)'!N124)</f>
        <v>0</v>
      </c>
    </row>
    <row r="125" spans="1:14" x14ac:dyDescent="0.25">
      <c r="A125">
        <f>IF(ISNUMBER('Sankey2050 (GWh original)'!A125),('Sankey2050 (GWh original)'!A125)/277.8,'Sankey2050 (GWh original)'!A125)</f>
        <v>0</v>
      </c>
      <c r="B125" s="3" t="str">
        <f>IF(ISNUMBER('Sankey2050 (GWh original)'!B125),('Sankey2050 (GWh original)'!B125)/277.8,'Sankey2050 (GWh original)'!B125)</f>
        <v>Oberflächennahe Umweltwärme</v>
      </c>
      <c r="C125" s="88">
        <f>IF(ISNUMBER('Sankey2050 (GWh original)'!C125),('Sankey2050 (GWh original)'!C125)/277.8,'Sankey2050 (GWh original)'!C125)</f>
        <v>0</v>
      </c>
      <c r="D125" s="9">
        <f>IF(ISNUMBER('Sankey2050 (GWh original)'!D125),('Sankey2050 (GWh original)'!D125)/277.8,'Sankey2050 (GWh original)'!D125)</f>
        <v>0</v>
      </c>
      <c r="E125" s="2" t="str">
        <f>IF(ISNUMBER('Sankey2050 (GWh original)'!E125),('Sankey2050 (GWh original)'!E125)/277.8,'Sankey2050 (GWh original)'!E125)</f>
        <v>Verluste</v>
      </c>
      <c r="F125" s="37">
        <f>IF(ISNUMBER('Sankey2050 (GWh original)'!F125),('Sankey2050 (GWh original)'!F125)/277.8,'Sankey2050 (GWh original)'!F125)</f>
        <v>1.080865998148715</v>
      </c>
      <c r="G125">
        <f>IF(ISNUMBER('Sankey2050 (GWh original)'!G125),('Sankey2050 (GWh original)'!G125)/277.8,'Sankey2050 (GWh original)'!G125)</f>
        <v>0</v>
      </c>
      <c r="H125">
        <f>IF(ISNUMBER('Sankey2050 (GWh original)'!H125),('Sankey2050 (GWh original)'!H125)/277.8,'Sankey2050 (GWh original)'!H125)</f>
        <v>0</v>
      </c>
      <c r="I125">
        <f>IF(ISNUMBER('Sankey2050 (GWh original)'!I125),('Sankey2050 (GWh original)'!I125)/277.8,'Sankey2050 (GWh original)'!I125)</f>
        <v>0</v>
      </c>
      <c r="J125">
        <f>IF(ISNUMBER('Sankey2050 (GWh original)'!J125),('Sankey2050 (GWh original)'!J125)/277.8,'Sankey2050 (GWh original)'!J125)</f>
        <v>0</v>
      </c>
      <c r="K125">
        <f>IF(ISNUMBER('Sankey2050 (GWh original)'!K125),('Sankey2050 (GWh original)'!K125)/277.8,'Sankey2050 (GWh original)'!K125)</f>
        <v>0</v>
      </c>
      <c r="L125">
        <f>IF(ISNUMBER('Sankey2050 (GWh original)'!L125),('Sankey2050 (GWh original)'!L125)/277.8,'Sankey2050 (GWh original)'!L125)</f>
        <v>0</v>
      </c>
      <c r="M125">
        <f>IF(ISNUMBER('Sankey2050 (GWh original)'!M125),('Sankey2050 (GWh original)'!M125)/277.8,'Sankey2050 (GWh original)'!M125)</f>
        <v>0</v>
      </c>
      <c r="N125">
        <f>IF(ISNUMBER('Sankey2050 (GWh original)'!N125),('Sankey2050 (GWh original)'!N125)/277.8,'Sankey2050 (GWh original)'!N125)</f>
        <v>0</v>
      </c>
    </row>
    <row r="126" spans="1:14" x14ac:dyDescent="0.25">
      <c r="A126">
        <f>IF(ISNUMBER('Sankey2050 (GWh original)'!A126),('Sankey2050 (GWh original)'!A126)/277.8,'Sankey2050 (GWh original)'!A126)</f>
        <v>0</v>
      </c>
      <c r="B126" s="14" t="str">
        <f>IF(ISNUMBER('Sankey2050 (GWh original)'!B126),('Sankey2050 (GWh original)'!B126)/277.8,'Sankey2050 (GWh original)'!B126)</f>
        <v>Summe Methanisierung</v>
      </c>
      <c r="C126" s="12">
        <f>IF(ISNUMBER('Sankey2050 (GWh original)'!C126),('Sankey2050 (GWh original)'!C126)/277.8,'Sankey2050 (GWh original)'!C126)</f>
        <v>18.379483492749152</v>
      </c>
      <c r="D126" s="9">
        <f>IF(ISNUMBER('Sankey2050 (GWh original)'!D126),('Sankey2050 (GWh original)'!D126)/277.8,'Sankey2050 (GWh original)'!D126)</f>
        <v>0</v>
      </c>
      <c r="E126">
        <f>IF(ISNUMBER('Sankey2050 (GWh original)'!E126),('Sankey2050 (GWh original)'!E126)/277.8,'Sankey2050 (GWh original)'!E126)</f>
        <v>0</v>
      </c>
      <c r="F126">
        <f>IF(ISNUMBER('Sankey2050 (GWh original)'!F126),('Sankey2050 (GWh original)'!F126)/277.8,'Sankey2050 (GWh original)'!F126)</f>
        <v>0</v>
      </c>
      <c r="G126">
        <f>IF(ISNUMBER('Sankey2050 (GWh original)'!G126),('Sankey2050 (GWh original)'!G126)/277.8,'Sankey2050 (GWh original)'!G126)</f>
        <v>0</v>
      </c>
      <c r="H126">
        <f>IF(ISNUMBER('Sankey2050 (GWh original)'!H126),('Sankey2050 (GWh original)'!H126)/277.8,'Sankey2050 (GWh original)'!H126)</f>
        <v>0</v>
      </c>
      <c r="I126">
        <f>IF(ISNUMBER('Sankey2050 (GWh original)'!I126),('Sankey2050 (GWh original)'!I126)/277.8,'Sankey2050 (GWh original)'!I126)</f>
        <v>0</v>
      </c>
      <c r="J126">
        <f>IF(ISNUMBER('Sankey2050 (GWh original)'!J126),('Sankey2050 (GWh original)'!J126)/277.8,'Sankey2050 (GWh original)'!J126)</f>
        <v>0</v>
      </c>
      <c r="K126">
        <f>IF(ISNUMBER('Sankey2050 (GWh original)'!K126),('Sankey2050 (GWh original)'!K126)/277.8,'Sankey2050 (GWh original)'!K126)</f>
        <v>0</v>
      </c>
      <c r="L126">
        <f>IF(ISNUMBER('Sankey2050 (GWh original)'!L126),('Sankey2050 (GWh original)'!L126)/277.8,'Sankey2050 (GWh original)'!L126)</f>
        <v>0</v>
      </c>
      <c r="M126">
        <f>IF(ISNUMBER('Sankey2050 (GWh original)'!M126),('Sankey2050 (GWh original)'!M126)/277.8,'Sankey2050 (GWh original)'!M126)</f>
        <v>0</v>
      </c>
      <c r="N126">
        <f>IF(ISNUMBER('Sankey2050 (GWh original)'!N126),('Sankey2050 (GWh original)'!N126)/277.8,'Sankey2050 (GWh original)'!N126)</f>
        <v>0</v>
      </c>
    </row>
    <row r="127" spans="1:14" x14ac:dyDescent="0.25">
      <c r="A127">
        <f>IF(ISNUMBER('Sankey2050 (GWh original)'!A127),('Sankey2050 (GWh original)'!A127)/277.8,'Sankey2050 (GWh original)'!A127)</f>
        <v>0</v>
      </c>
      <c r="B127" s="16" t="str">
        <f>IF(ISNUMBER('Sankey2050 (GWh original)'!B127),('Sankey2050 (GWh original)'!B127)/277.8,'Sankey2050 (GWh original)'!B127)</f>
        <v>Gesamtsumme</v>
      </c>
      <c r="C127" s="20">
        <f>IF(ISNUMBER('Sankey2050 (GWh original)'!C127),('Sankey2050 (GWh original)'!C127)/277.8,'Sankey2050 (GWh original)'!C127)</f>
        <v>41.077669453872261</v>
      </c>
      <c r="D127" s="9">
        <f>IF(ISNUMBER('Sankey2050 (GWh original)'!D127),('Sankey2050 (GWh original)'!D127)/277.8,'Sankey2050 (GWh original)'!D127)</f>
        <v>0</v>
      </c>
      <c r="E127">
        <f>IF(ISNUMBER('Sankey2050 (GWh original)'!E127),('Sankey2050 (GWh original)'!E127)/277.8,'Sankey2050 (GWh original)'!E127)</f>
        <v>0</v>
      </c>
      <c r="F127">
        <f>IF(ISNUMBER('Sankey2050 (GWh original)'!F127),('Sankey2050 (GWh original)'!F127)/277.8,'Sankey2050 (GWh original)'!F127)</f>
        <v>0</v>
      </c>
      <c r="G127">
        <f>IF(ISNUMBER('Sankey2050 (GWh original)'!G127),('Sankey2050 (GWh original)'!G127)/277.8,'Sankey2050 (GWh original)'!G127)</f>
        <v>0</v>
      </c>
      <c r="H127">
        <f>IF(ISNUMBER('Sankey2050 (GWh original)'!H127),('Sankey2050 (GWh original)'!H127)/277.8,'Sankey2050 (GWh original)'!H127)</f>
        <v>0</v>
      </c>
      <c r="I127">
        <f>IF(ISNUMBER('Sankey2050 (GWh original)'!I127),('Sankey2050 (GWh original)'!I127)/277.8,'Sankey2050 (GWh original)'!I127)</f>
        <v>0</v>
      </c>
      <c r="J127">
        <f>IF(ISNUMBER('Sankey2050 (GWh original)'!J127),('Sankey2050 (GWh original)'!J127)/277.8,'Sankey2050 (GWh original)'!J127)</f>
        <v>0</v>
      </c>
      <c r="K127">
        <f>IF(ISNUMBER('Sankey2050 (GWh original)'!K127),('Sankey2050 (GWh original)'!K127)/277.8,'Sankey2050 (GWh original)'!K127)</f>
        <v>0</v>
      </c>
      <c r="L127">
        <f>IF(ISNUMBER('Sankey2050 (GWh original)'!L127),('Sankey2050 (GWh original)'!L127)/277.8,'Sankey2050 (GWh original)'!L127)</f>
        <v>0</v>
      </c>
      <c r="M127">
        <f>IF(ISNUMBER('Sankey2050 (GWh original)'!M127),('Sankey2050 (GWh original)'!M127)/277.8,'Sankey2050 (GWh original)'!M127)</f>
        <v>0</v>
      </c>
      <c r="N127">
        <f>IF(ISNUMBER('Sankey2050 (GWh original)'!N127),('Sankey2050 (GWh original)'!N127)/277.8,'Sankey2050 (GWh original)'!N127)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7"/>
  <sheetViews>
    <sheetView topLeftCell="A4" zoomScale="70" zoomScaleNormal="70" workbookViewId="0">
      <selection activeCell="K30" sqref="K30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9.140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8.2851562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2:15" x14ac:dyDescent="0.25">
      <c r="B1" s="1" t="s">
        <v>8</v>
      </c>
      <c r="O1" s="57" t="s">
        <v>70</v>
      </c>
    </row>
    <row r="4" spans="2:15" x14ac:dyDescent="0.25">
      <c r="B4" s="25" t="s">
        <v>38</v>
      </c>
      <c r="C4" s="3"/>
    </row>
    <row r="5" spans="2:15" x14ac:dyDescent="0.25">
      <c r="B5" s="3"/>
      <c r="C5" s="23">
        <f>'Sankey2050 (GWh original)'!F123</f>
        <v>11111.112000000001</v>
      </c>
    </row>
    <row r="6" spans="2:15" x14ac:dyDescent="0.25">
      <c r="B6" s="3" t="s">
        <v>5</v>
      </c>
      <c r="C6" s="5">
        <f>85277</f>
        <v>85277</v>
      </c>
    </row>
    <row r="7" spans="2:15" x14ac:dyDescent="0.25">
      <c r="B7" s="3" t="s">
        <v>0</v>
      </c>
      <c r="C7" s="5">
        <f>56111</f>
        <v>56111</v>
      </c>
    </row>
    <row r="8" spans="2:15" x14ac:dyDescent="0.25">
      <c r="B8" s="3" t="s">
        <v>2</v>
      </c>
      <c r="C8" s="5">
        <f>18055</f>
        <v>18055</v>
      </c>
    </row>
    <row r="9" spans="2:15" x14ac:dyDescent="0.25">
      <c r="B9" s="3" t="s">
        <v>6</v>
      </c>
      <c r="C9" s="5">
        <f>58611</f>
        <v>58611</v>
      </c>
    </row>
    <row r="10" spans="2:15" x14ac:dyDescent="0.25">
      <c r="B10" s="3"/>
      <c r="C10" s="5"/>
    </row>
    <row r="11" spans="2:15" x14ac:dyDescent="0.25">
      <c r="B11" s="3"/>
      <c r="C11" s="5"/>
    </row>
    <row r="12" spans="2:15" x14ac:dyDescent="0.25">
      <c r="B12" s="3" t="s">
        <v>1</v>
      </c>
      <c r="C12" s="5">
        <f>25833</f>
        <v>25833</v>
      </c>
    </row>
    <row r="13" spans="2:15" x14ac:dyDescent="0.25">
      <c r="B13" s="3" t="s">
        <v>3</v>
      </c>
      <c r="C13" s="5">
        <f>33333</f>
        <v>33333</v>
      </c>
      <c r="F13" s="3" t="s">
        <v>34</v>
      </c>
    </row>
    <row r="14" spans="2:15" x14ac:dyDescent="0.25">
      <c r="B14" s="3" t="s">
        <v>4</v>
      </c>
      <c r="C14" s="5">
        <f>94722</f>
        <v>94722</v>
      </c>
      <c r="F14" s="74">
        <f>F21-E21</f>
        <v>6018.5190000000002</v>
      </c>
      <c r="G14" s="7" t="s">
        <v>9</v>
      </c>
    </row>
    <row r="15" spans="2:15" x14ac:dyDescent="0.25">
      <c r="B15" s="7" t="s">
        <v>9</v>
      </c>
      <c r="C15" s="8">
        <f>SUM(C6:C14)</f>
        <v>371942</v>
      </c>
      <c r="F15" s="74">
        <f>F24-E24</f>
        <v>6018.5190000000002</v>
      </c>
      <c r="G15" s="8">
        <f>F14+F15</f>
        <v>12037.038</v>
      </c>
    </row>
    <row r="17" spans="2:13" x14ac:dyDescent="0.25">
      <c r="B17" s="25" t="s">
        <v>10</v>
      </c>
      <c r="C17" s="3"/>
      <c r="D17" s="4" t="s">
        <v>35</v>
      </c>
      <c r="E17" s="3" t="s">
        <v>37</v>
      </c>
      <c r="F17" s="6" t="s">
        <v>36</v>
      </c>
    </row>
    <row r="18" spans="2:13" x14ac:dyDescent="0.25">
      <c r="B18" s="3"/>
      <c r="C18" s="11"/>
      <c r="D18" s="3"/>
      <c r="E18" s="21"/>
      <c r="F18" s="6"/>
    </row>
    <row r="19" spans="2:13" x14ac:dyDescent="0.25">
      <c r="B19" s="3" t="s">
        <v>5</v>
      </c>
      <c r="C19" s="50">
        <f>81390</f>
        <v>81390</v>
      </c>
      <c r="D19" s="74"/>
      <c r="E19" s="51">
        <f>C19</f>
        <v>81390</v>
      </c>
      <c r="F19" s="47">
        <f>E19</f>
        <v>81390</v>
      </c>
    </row>
    <row r="20" spans="2:13" x14ac:dyDescent="0.25">
      <c r="B20" s="3" t="s">
        <v>0</v>
      </c>
      <c r="C20" s="50">
        <f>49167</f>
        <v>49167</v>
      </c>
      <c r="D20" s="74"/>
      <c r="E20" s="51">
        <f>C20</f>
        <v>49167</v>
      </c>
      <c r="F20" s="47">
        <f>E20</f>
        <v>49167</v>
      </c>
    </row>
    <row r="21" spans="2:13" x14ac:dyDescent="0.25">
      <c r="B21" s="3" t="s">
        <v>2</v>
      </c>
      <c r="C21" s="50">
        <f>14417</f>
        <v>14417</v>
      </c>
      <c r="D21" s="74">
        <f>C22/2</f>
        <v>9805.5</v>
      </c>
      <c r="E21" s="51">
        <f>C21+D21</f>
        <v>24222.5</v>
      </c>
      <c r="F21" s="47">
        <f>E21+39*277.7778*0.5/0.9</f>
        <v>30241.019</v>
      </c>
    </row>
    <row r="22" spans="2:13" x14ac:dyDescent="0.25">
      <c r="B22" s="3" t="s">
        <v>6</v>
      </c>
      <c r="C22" s="50">
        <f>19611</f>
        <v>19611</v>
      </c>
      <c r="D22" s="74">
        <v>0</v>
      </c>
      <c r="E22" s="51">
        <v>0</v>
      </c>
      <c r="F22" s="47">
        <v>0</v>
      </c>
    </row>
    <row r="23" spans="2:13" x14ac:dyDescent="0.25">
      <c r="B23" s="3"/>
      <c r="C23" s="50"/>
      <c r="D23" s="74"/>
      <c r="E23" s="51"/>
      <c r="F23" s="47"/>
    </row>
    <row r="24" spans="2:13" x14ac:dyDescent="0.25">
      <c r="B24" s="3" t="s">
        <v>1</v>
      </c>
      <c r="C24" s="50">
        <f>19556</f>
        <v>19556</v>
      </c>
      <c r="D24" s="74">
        <f>C22/2</f>
        <v>9805.5</v>
      </c>
      <c r="E24" s="51">
        <f>C24+D24</f>
        <v>29361.5</v>
      </c>
      <c r="F24" s="47">
        <f>E24+39*277.7778*0.5/0.9</f>
        <v>35380.019</v>
      </c>
    </row>
    <row r="25" spans="2:13" x14ac:dyDescent="0.25">
      <c r="B25" s="3" t="s">
        <v>3</v>
      </c>
      <c r="C25" s="50">
        <f>20833</f>
        <v>20833</v>
      </c>
      <c r="D25" s="74"/>
      <c r="E25" s="51">
        <f>C25</f>
        <v>20833</v>
      </c>
      <c r="F25" s="47">
        <f>E25</f>
        <v>20833</v>
      </c>
    </row>
    <row r="26" spans="2:13" x14ac:dyDescent="0.25">
      <c r="B26" s="3" t="s">
        <v>4</v>
      </c>
      <c r="C26" s="50">
        <f>18889</f>
        <v>18889</v>
      </c>
      <c r="D26" s="74"/>
      <c r="E26" s="51">
        <f>C26</f>
        <v>18889</v>
      </c>
      <c r="F26" s="47">
        <f>E26</f>
        <v>18889</v>
      </c>
    </row>
    <row r="27" spans="2:13" x14ac:dyDescent="0.25">
      <c r="B27" s="7" t="s">
        <v>9</v>
      </c>
      <c r="C27" s="52">
        <f>SUM(C19:C26)</f>
        <v>223863</v>
      </c>
      <c r="D27" s="53">
        <f>SUM(D19:D26)</f>
        <v>19611</v>
      </c>
      <c r="E27" s="53">
        <f>SUM(E19:E26)</f>
        <v>223863</v>
      </c>
      <c r="F27" s="47">
        <f>SUM(F18:F26)</f>
        <v>235900.038</v>
      </c>
    </row>
    <row r="29" spans="2:13" x14ac:dyDescent="0.25">
      <c r="B29" s="25" t="s">
        <v>46</v>
      </c>
      <c r="C29" s="3"/>
      <c r="D29" s="3" t="s">
        <v>61</v>
      </c>
      <c r="E29" s="3" t="s">
        <v>7</v>
      </c>
      <c r="F29" s="3" t="s">
        <v>31</v>
      </c>
      <c r="G29" s="3" t="s">
        <v>32</v>
      </c>
      <c r="H29" s="3" t="s">
        <v>30</v>
      </c>
      <c r="I29" s="3" t="s">
        <v>14</v>
      </c>
      <c r="J29" s="3" t="s">
        <v>9</v>
      </c>
      <c r="K29" s="23" t="s">
        <v>104</v>
      </c>
      <c r="L29" s="38" t="s">
        <v>33</v>
      </c>
    </row>
    <row r="30" spans="2:13" x14ac:dyDescent="0.25">
      <c r="B30" s="3" t="s">
        <v>5</v>
      </c>
      <c r="C30" s="74">
        <f>E19</f>
        <v>81390</v>
      </c>
      <c r="D30" s="74">
        <f>([1]KO_EEneu4neu!$F$278+[1]KO_EEneu4neu!$F$267)*277.7778</f>
        <v>1946.0703897993312</v>
      </c>
      <c r="E30" s="74">
        <v>0</v>
      </c>
      <c r="F30" s="74">
        <f>[2]KO_EEneu4neu!$C$214*277.7778</f>
        <v>18055.557000000001</v>
      </c>
      <c r="G30" s="74">
        <f>[2]KO_EEneu4neu!$C$215*277.7778</f>
        <v>28416.66894</v>
      </c>
      <c r="H30" s="74">
        <f>[2]KO_EEneu4neu!$C$216*277.7778</f>
        <v>6305.5560599999999</v>
      </c>
      <c r="I30" s="74">
        <f>[2]KO_EEneu4neu!$C$217*277.7778</f>
        <v>4083.3336599999998</v>
      </c>
      <c r="J30" s="74">
        <f>SUM(D30:I30)+K30</f>
        <v>59690.860869657183</v>
      </c>
      <c r="K30" s="74">
        <f>([1]KO_EEneu4neu!$F$257+[1]KO_EEneu4neu!$F$258)*277.7778</f>
        <v>883.67481985785969</v>
      </c>
      <c r="L30" s="49">
        <f>C30-J30</f>
        <v>21699.139130342817</v>
      </c>
      <c r="M30" s="408">
        <f>J30/277.8</f>
        <v>214.86990953800282</v>
      </c>
    </row>
    <row r="31" spans="2:13" x14ac:dyDescent="0.25">
      <c r="B31" s="3" t="s">
        <v>0</v>
      </c>
      <c r="C31" s="74">
        <f>E20</f>
        <v>49167</v>
      </c>
      <c r="D31" s="74">
        <f>[2]KO_EEneu4neu!$K$204*277.7778</f>
        <v>33888.891600000003</v>
      </c>
      <c r="E31" s="74">
        <f>[2]KO_EEneu4neu!$J$204*277.7778</f>
        <v>15277.779</v>
      </c>
      <c r="F31" s="74">
        <v>0</v>
      </c>
      <c r="G31" s="74">
        <v>0</v>
      </c>
      <c r="H31" s="74">
        <v>0</v>
      </c>
      <c r="I31" s="74">
        <v>0</v>
      </c>
      <c r="J31" s="74">
        <f t="shared" ref="J31:J36" si="0">SUM(D31:I31)</f>
        <v>49166.670600000005</v>
      </c>
      <c r="K31" s="74"/>
      <c r="L31" s="49">
        <f>C31-J31</f>
        <v>0.32939999999507563</v>
      </c>
      <c r="M31" s="408">
        <f t="shared" ref="M31:M37" si="1">J31/277.8</f>
        <v>176.98585529157668</v>
      </c>
    </row>
    <row r="32" spans="2:13" x14ac:dyDescent="0.25">
      <c r="B32" s="3" t="s">
        <v>2</v>
      </c>
      <c r="C32" s="74">
        <f>F21</f>
        <v>30241.019</v>
      </c>
      <c r="D32" s="74">
        <f>[2]KO_EEneu4neu!$K$206*277.7778</f>
        <v>23893.520429999997</v>
      </c>
      <c r="E32" s="74">
        <f>[2]KO_EEneu4neu!$J$206*277.7778</f>
        <v>6347.2227300000004</v>
      </c>
      <c r="F32" s="74">
        <v>0</v>
      </c>
      <c r="G32" s="74">
        <v>0</v>
      </c>
      <c r="H32" s="74">
        <v>0</v>
      </c>
      <c r="I32" s="74">
        <v>0</v>
      </c>
      <c r="J32" s="74">
        <f t="shared" si="0"/>
        <v>30240.743159999998</v>
      </c>
      <c r="K32" s="74"/>
      <c r="L32" s="49">
        <f>C32-J32</f>
        <v>0.27584000000206288</v>
      </c>
      <c r="M32" s="408">
        <f t="shared" si="1"/>
        <v>108.85796673866089</v>
      </c>
    </row>
    <row r="33" spans="2:13" x14ac:dyDescent="0.25">
      <c r="B33" s="14" t="s">
        <v>9</v>
      </c>
      <c r="C33" s="44"/>
      <c r="D33" s="44"/>
      <c r="E33" s="44"/>
      <c r="F33" s="44"/>
      <c r="G33" s="44"/>
      <c r="H33" s="44"/>
      <c r="I33" s="44"/>
      <c r="J33" s="44"/>
      <c r="K33" s="44"/>
      <c r="L33" s="49"/>
      <c r="M33" s="408">
        <f t="shared" si="1"/>
        <v>0</v>
      </c>
    </row>
    <row r="34" spans="2:13" x14ac:dyDescent="0.25">
      <c r="B34" s="3" t="s">
        <v>1</v>
      </c>
      <c r="C34" s="74">
        <f>F24</f>
        <v>35380.019</v>
      </c>
      <c r="D34" s="74">
        <f>[2]KO_EEneu4neu!$K$205*277.7778</f>
        <v>27643.520730000004</v>
      </c>
      <c r="E34" s="74">
        <f>[2]KO_EEneu4neu!$J$205*277.7778</f>
        <v>7736.1117300000005</v>
      </c>
      <c r="F34" s="74">
        <v>0</v>
      </c>
      <c r="G34" s="74">
        <v>0</v>
      </c>
      <c r="H34" s="74">
        <v>0</v>
      </c>
      <c r="I34" s="74">
        <v>0</v>
      </c>
      <c r="J34" s="74">
        <f t="shared" si="0"/>
        <v>35379.632460000008</v>
      </c>
      <c r="K34" s="74"/>
      <c r="L34" s="49">
        <f>C34-J34</f>
        <v>0.38653999999223743</v>
      </c>
      <c r="M34" s="408">
        <f t="shared" si="1"/>
        <v>127.35648833693307</v>
      </c>
    </row>
    <row r="35" spans="2:13" x14ac:dyDescent="0.25">
      <c r="B35" s="3" t="s">
        <v>3</v>
      </c>
      <c r="C35" s="74">
        <f>E25</f>
        <v>20833</v>
      </c>
      <c r="D35" s="74">
        <v>0</v>
      </c>
      <c r="E35" s="74">
        <v>0</v>
      </c>
      <c r="F35" s="74">
        <v>0</v>
      </c>
      <c r="G35" s="74">
        <f>C35</f>
        <v>20833</v>
      </c>
      <c r="H35" s="74">
        <v>0</v>
      </c>
      <c r="I35" s="74">
        <v>0</v>
      </c>
      <c r="J35" s="74">
        <f t="shared" si="0"/>
        <v>20833</v>
      </c>
      <c r="K35" s="74"/>
      <c r="L35" s="49">
        <f>C35-J35</f>
        <v>0</v>
      </c>
      <c r="M35" s="408">
        <f t="shared" si="1"/>
        <v>74.992800575953922</v>
      </c>
    </row>
    <row r="36" spans="2:13" x14ac:dyDescent="0.25">
      <c r="B36" s="3" t="s">
        <v>4</v>
      </c>
      <c r="C36" s="74">
        <f>E26</f>
        <v>18889</v>
      </c>
      <c r="D36" s="74">
        <v>0</v>
      </c>
      <c r="E36" s="74">
        <v>0</v>
      </c>
      <c r="F36" s="74">
        <v>0</v>
      </c>
      <c r="G36" s="74">
        <f>C36</f>
        <v>18889</v>
      </c>
      <c r="H36" s="74">
        <v>0</v>
      </c>
      <c r="I36" s="74">
        <v>0</v>
      </c>
      <c r="J36" s="74">
        <f t="shared" si="0"/>
        <v>18889</v>
      </c>
      <c r="K36" s="74"/>
      <c r="L36" s="49">
        <f>C36-J36</f>
        <v>0</v>
      </c>
      <c r="M36" s="408">
        <f t="shared" si="1"/>
        <v>67.994960403167738</v>
      </c>
    </row>
    <row r="37" spans="2:13" x14ac:dyDescent="0.25">
      <c r="B37" s="14" t="s">
        <v>9</v>
      </c>
      <c r="C37" s="44">
        <f>SUM(C30:C36)</f>
        <v>235900.038</v>
      </c>
      <c r="D37" s="44">
        <f>SUM(D30:D36)</f>
        <v>87372.003149799333</v>
      </c>
      <c r="E37" s="44">
        <f t="shared" ref="E37:J37" si="2">SUM(E30:E36)</f>
        <v>29361.11346</v>
      </c>
      <c r="F37" s="44">
        <f t="shared" si="2"/>
        <v>18055.557000000001</v>
      </c>
      <c r="G37" s="44">
        <f t="shared" si="2"/>
        <v>68138.668940000003</v>
      </c>
      <c r="H37" s="44">
        <f t="shared" si="2"/>
        <v>6305.5560599999999</v>
      </c>
      <c r="I37" s="44">
        <f t="shared" si="2"/>
        <v>4083.3336599999998</v>
      </c>
      <c r="J37" s="44">
        <f t="shared" si="2"/>
        <v>214199.90708965721</v>
      </c>
      <c r="K37" s="44"/>
      <c r="L37" s="49"/>
      <c r="M37" s="408">
        <f t="shared" si="1"/>
        <v>771.05798088429515</v>
      </c>
    </row>
    <row r="38" spans="2:13" x14ac:dyDescent="0.25">
      <c r="D38" s="408">
        <f>D37/277.8</f>
        <v>314.51405021526034</v>
      </c>
      <c r="E38" s="408">
        <f>E37/277.8</f>
        <v>105.69155313174946</v>
      </c>
    </row>
    <row r="40" spans="2:13" x14ac:dyDescent="0.25">
      <c r="B40" s="26" t="s">
        <v>39</v>
      </c>
      <c r="C40" s="27"/>
      <c r="D40" s="409" t="s">
        <v>572</v>
      </c>
      <c r="E40" s="27"/>
      <c r="F40" s="28"/>
      <c r="H40" s="32" t="s">
        <v>54</v>
      </c>
      <c r="I40" s="23">
        <f>C45-F49</f>
        <v>55328.123619857863</v>
      </c>
      <c r="J40" s="10">
        <f>I40/277.8</f>
        <v>199.16531180654377</v>
      </c>
    </row>
    <row r="41" spans="2:13" x14ac:dyDescent="0.25">
      <c r="B41" s="34" t="s">
        <v>50</v>
      </c>
      <c r="C41" s="46">
        <f>[2]KO_EEneu4neu!$E$237*277.7778</f>
        <v>88592.599679999999</v>
      </c>
      <c r="D41" s="9">
        <f t="shared" ref="D41:D45" si="3">C41/277</f>
        <v>319.82887971119135</v>
      </c>
      <c r="E41" s="24" t="s">
        <v>11</v>
      </c>
      <c r="F41" s="46">
        <f>([2]KO_EEneu4neu!$E$257)*277.7778</f>
        <v>18333.334800000001</v>
      </c>
    </row>
    <row r="42" spans="2:13" x14ac:dyDescent="0.25">
      <c r="B42" s="3" t="s">
        <v>5</v>
      </c>
      <c r="C42" s="74">
        <f>D30+K30</f>
        <v>2829.745209657191</v>
      </c>
      <c r="D42" s="9">
        <f t="shared" si="3"/>
        <v>10.215686677462784</v>
      </c>
      <c r="E42" s="18" t="s">
        <v>20</v>
      </c>
      <c r="F42" s="74">
        <f>([2]KO_EEneu4neu!$E$267)*277.7778</f>
        <v>22777.779600000002</v>
      </c>
      <c r="H42" s="42" t="s">
        <v>49</v>
      </c>
      <c r="I42" s="88" t="s">
        <v>13</v>
      </c>
      <c r="J42" s="3" t="s">
        <v>53</v>
      </c>
    </row>
    <row r="43" spans="2:13" x14ac:dyDescent="0.25">
      <c r="B43" s="3" t="s">
        <v>0</v>
      </c>
      <c r="C43" s="74">
        <f>D31</f>
        <v>33888.891600000003</v>
      </c>
      <c r="D43" s="9">
        <f t="shared" si="3"/>
        <v>122.34256895306861</v>
      </c>
      <c r="E43" s="18" t="s">
        <v>16</v>
      </c>
      <c r="F43" s="74">
        <f>([2]KO_EEneu4neu!$E$276)*277.7778</f>
        <v>24722.224200000001</v>
      </c>
      <c r="H43" s="3" t="s">
        <v>20</v>
      </c>
      <c r="I43" s="74">
        <f>[2]KO_EEneu4neu!D288*277.7778</f>
        <v>22777.779600000002</v>
      </c>
      <c r="J43" s="74">
        <f>[2]KO_EEneu4neu!E288*277.7778</f>
        <v>17114.691042908176</v>
      </c>
      <c r="K43" s="75">
        <f>J43/I43</f>
        <v>0.75137661982242443</v>
      </c>
    </row>
    <row r="44" spans="2:13" x14ac:dyDescent="0.25">
      <c r="B44" s="3" t="s">
        <v>2</v>
      </c>
      <c r="C44" s="74">
        <f>D32</f>
        <v>23893.520429999997</v>
      </c>
      <c r="D44" s="9">
        <f t="shared" si="3"/>
        <v>86.258196498194934</v>
      </c>
      <c r="E44" s="18" t="s">
        <v>17</v>
      </c>
      <c r="F44" s="74">
        <f>([2]KO_EEneu4neu!$E$258)*277.7778</f>
        <v>6388.8894</v>
      </c>
      <c r="H44" s="3" t="s">
        <v>31</v>
      </c>
      <c r="I44" s="74">
        <f>[2]KO_EEneu4neu!D289*277.7778</f>
        <v>6944.4450000000006</v>
      </c>
      <c r="J44" s="74">
        <f>[2]KO_EEneu4neu!E289*277.7778</f>
        <v>6944.4450000000006</v>
      </c>
      <c r="K44" s="75">
        <f>J44/I44</f>
        <v>1</v>
      </c>
    </row>
    <row r="45" spans="2:13" x14ac:dyDescent="0.25">
      <c r="B45" s="14" t="s">
        <v>9</v>
      </c>
      <c r="C45" s="44">
        <f>SUM(C42:C44)</f>
        <v>60612.157239657194</v>
      </c>
      <c r="D45" s="9">
        <f t="shared" si="3"/>
        <v>218.81645212872633</v>
      </c>
      <c r="E45" s="88" t="s">
        <v>18</v>
      </c>
      <c r="F45" s="74">
        <f>([2]KO_EEneu4neu!$E$272)*277.7778</f>
        <v>6944.4450000000015</v>
      </c>
      <c r="H45" s="3" t="s">
        <v>51</v>
      </c>
      <c r="I45" s="74">
        <f>[2]KO_EEneu4neu!D290*277.7778</f>
        <v>24722.224200000001</v>
      </c>
      <c r="J45" s="74">
        <f>[2]KO_EEneu4neu!E290*277.7778</f>
        <v>19777.77936</v>
      </c>
      <c r="K45" s="75">
        <f>J45/I45</f>
        <v>0.8</v>
      </c>
    </row>
    <row r="46" spans="2:13" x14ac:dyDescent="0.25">
      <c r="B46" s="3" t="s">
        <v>1</v>
      </c>
      <c r="C46" s="74">
        <f>D34</f>
        <v>27643.520730000004</v>
      </c>
      <c r="D46" s="9">
        <f>C46/277</f>
        <v>99.796103718411572</v>
      </c>
      <c r="E46" s="6" t="s">
        <v>13</v>
      </c>
      <c r="F46" s="47">
        <f>SUM(F41:F45)</f>
        <v>79166.67300000001</v>
      </c>
      <c r="G46" s="408">
        <f>(F46+F50)/277.8</f>
        <v>317.69502508875883</v>
      </c>
      <c r="H46" s="6" t="s">
        <v>9</v>
      </c>
      <c r="I46" s="47">
        <f>[2]KO_EEneu4neu!D291*277.7778</f>
        <v>54444.448800000006</v>
      </c>
      <c r="J46" s="47">
        <f>[2]KO_EEneu4neu!E291*277.7778</f>
        <v>43836.915402908176</v>
      </c>
      <c r="K46" s="75">
        <f>J46/I46</f>
        <v>0.80516776951754487</v>
      </c>
    </row>
    <row r="47" spans="2:13" x14ac:dyDescent="0.25">
      <c r="B47" s="3" t="s">
        <v>3</v>
      </c>
      <c r="C47" s="74">
        <v>0</v>
      </c>
      <c r="D47" s="9"/>
      <c r="F47" s="88"/>
      <c r="I47" s="408">
        <f>I46/277.8</f>
        <v>195.98433693304537</v>
      </c>
    </row>
    <row r="48" spans="2:13" x14ac:dyDescent="0.25">
      <c r="B48" s="3" t="s">
        <v>4</v>
      </c>
      <c r="C48" s="74">
        <v>0</v>
      </c>
      <c r="D48" s="9"/>
      <c r="E48" s="40" t="s">
        <v>47</v>
      </c>
      <c r="F48" s="74">
        <f>C49+K30-I55</f>
        <v>3804.971349857864</v>
      </c>
      <c r="H48" t="s">
        <v>52</v>
      </c>
      <c r="I48" s="76">
        <f>I46-J46</f>
        <v>10607.533397091829</v>
      </c>
      <c r="J48" t="s">
        <v>55</v>
      </c>
      <c r="K48" s="41"/>
    </row>
    <row r="49" spans="2:10" x14ac:dyDescent="0.25">
      <c r="B49" s="14" t="s">
        <v>9</v>
      </c>
      <c r="C49" s="44">
        <f>SUM(C46:C48)</f>
        <v>27643.520730000004</v>
      </c>
      <c r="D49" s="9"/>
      <c r="E49" s="39" t="s">
        <v>48</v>
      </c>
      <c r="F49" s="74">
        <f>C50-F46-F48</f>
        <v>5284.0336197993311</v>
      </c>
      <c r="H49" t="s">
        <v>56</v>
      </c>
      <c r="I49" s="76">
        <f>[2]KO_EEneu4neu!$C$293</f>
        <v>9460000</v>
      </c>
    </row>
    <row r="50" spans="2:10" x14ac:dyDescent="0.25">
      <c r="B50" s="16" t="s">
        <v>15</v>
      </c>
      <c r="C50" s="45">
        <f>SUM(C49,C45)</f>
        <v>88255.677969657205</v>
      </c>
      <c r="E50" s="3" t="s">
        <v>59</v>
      </c>
      <c r="F50" s="74">
        <f>SUM(F48:F49)</f>
        <v>9089.004969657195</v>
      </c>
      <c r="H50" t="s">
        <v>57</v>
      </c>
      <c r="I50" s="76">
        <f>I48/I49*1000000</f>
        <v>1121.3037417644641</v>
      </c>
      <c r="J50" t="s">
        <v>58</v>
      </c>
    </row>
    <row r="51" spans="2:10" x14ac:dyDescent="0.25">
      <c r="D51" s="408">
        <f>C50/277.8</f>
        <v>317.69502508875883</v>
      </c>
      <c r="F51" s="76"/>
    </row>
    <row r="52" spans="2:10" x14ac:dyDescent="0.25">
      <c r="B52" s="33" t="s">
        <v>21</v>
      </c>
      <c r="C52" s="74">
        <f>([2]KO_EEneu4neu!$N$263)*277.7778</f>
        <v>18888.8904</v>
      </c>
      <c r="D52" s="1"/>
      <c r="E52" s="19" t="s">
        <v>11</v>
      </c>
      <c r="F52" s="74">
        <f>C61</f>
        <v>18888.8904</v>
      </c>
      <c r="H52" s="42" t="s">
        <v>60</v>
      </c>
      <c r="I52" s="88" t="s">
        <v>13</v>
      </c>
    </row>
    <row r="53" spans="2:10" x14ac:dyDescent="0.25">
      <c r="B53" s="3" t="s">
        <v>5</v>
      </c>
      <c r="C53" s="74">
        <v>0</v>
      </c>
      <c r="E53" s="3" t="s">
        <v>12</v>
      </c>
      <c r="F53" s="74">
        <f>F44</f>
        <v>6388.8894</v>
      </c>
      <c r="H53" s="3" t="s">
        <v>11</v>
      </c>
      <c r="I53" s="74">
        <f>F41</f>
        <v>18333.334800000001</v>
      </c>
    </row>
    <row r="54" spans="2:10" x14ac:dyDescent="0.25">
      <c r="B54" s="3" t="s">
        <v>0</v>
      </c>
      <c r="C54" s="74">
        <v>0</v>
      </c>
      <c r="E54" s="2" t="s">
        <v>9</v>
      </c>
      <c r="F54" s="48">
        <f>F52+F53</f>
        <v>25277.7798</v>
      </c>
      <c r="H54" s="43" t="s">
        <v>17</v>
      </c>
      <c r="I54" s="74">
        <f>F44</f>
        <v>6388.8894</v>
      </c>
    </row>
    <row r="55" spans="2:10" x14ac:dyDescent="0.25">
      <c r="B55" s="3" t="s">
        <v>2</v>
      </c>
      <c r="C55" s="74">
        <v>0</v>
      </c>
      <c r="E55" s="3" t="s">
        <v>45</v>
      </c>
      <c r="F55" s="74">
        <f>[2]KO_EEneu4neu!$D$240*277.7778</f>
        <v>25277.7798</v>
      </c>
      <c r="H55" s="6" t="s">
        <v>9</v>
      </c>
      <c r="I55" s="47">
        <f>SUM(I53:I54)</f>
        <v>24722.224200000001</v>
      </c>
    </row>
    <row r="56" spans="2:10" x14ac:dyDescent="0.25">
      <c r="B56" s="14" t="s">
        <v>9</v>
      </c>
      <c r="C56" s="44">
        <f>SUM(C53:C55)</f>
        <v>0</v>
      </c>
      <c r="H56" s="6" t="s">
        <v>67</v>
      </c>
      <c r="I56" s="56">
        <f>I55+F48</f>
        <v>28527.195549857865</v>
      </c>
    </row>
    <row r="57" spans="2:10" x14ac:dyDescent="0.25">
      <c r="B57" s="3" t="s">
        <v>1</v>
      </c>
      <c r="C57" s="74">
        <v>0</v>
      </c>
      <c r="H57" s="54"/>
      <c r="I57" s="408">
        <f>I56/277.8</f>
        <v>102.68968880438396</v>
      </c>
    </row>
    <row r="58" spans="2:10" x14ac:dyDescent="0.25">
      <c r="B58" s="3" t="s">
        <v>3</v>
      </c>
      <c r="C58" s="74">
        <v>0</v>
      </c>
      <c r="D58" s="1"/>
      <c r="E58" s="1"/>
      <c r="F58" s="1"/>
    </row>
    <row r="59" spans="2:10" x14ac:dyDescent="0.25">
      <c r="B59" s="3" t="s">
        <v>4</v>
      </c>
      <c r="C59" s="74">
        <f>([2]KO_EEneu4neu!$N$263)*277.7778</f>
        <v>18888.8904</v>
      </c>
    </row>
    <row r="60" spans="2:10" x14ac:dyDescent="0.25">
      <c r="B60" s="14" t="s">
        <v>9</v>
      </c>
      <c r="C60" s="44">
        <f>SUM(C57:C59)</f>
        <v>18888.8904</v>
      </c>
    </row>
    <row r="61" spans="2:10" x14ac:dyDescent="0.25">
      <c r="B61" s="16" t="s">
        <v>15</v>
      </c>
      <c r="C61" s="45">
        <f>SUM(C60,C56)</f>
        <v>18888.8904</v>
      </c>
      <c r="G61" s="55" t="s">
        <v>66</v>
      </c>
      <c r="H61" s="55"/>
    </row>
    <row r="62" spans="2:10" x14ac:dyDescent="0.25">
      <c r="G62" s="55" t="s">
        <v>3</v>
      </c>
      <c r="H62" s="55" t="s">
        <v>5</v>
      </c>
    </row>
    <row r="63" spans="2:10" x14ac:dyDescent="0.25">
      <c r="B63" s="33" t="s">
        <v>22</v>
      </c>
      <c r="C63" s="74">
        <f>[2]KO_EEneu4neu!$E$242*277.7778</f>
        <v>49250.003940000002</v>
      </c>
      <c r="E63" s="3" t="s">
        <v>11</v>
      </c>
      <c r="F63" s="50">
        <f>([2]KO_EEneu4neu!$E$261+[2]KO_EEneu4neu!$E$262)*277.7778</f>
        <v>22777.779600000002</v>
      </c>
      <c r="G63" s="74">
        <f>Kontrolle!C14</f>
        <v>19166.6682</v>
      </c>
      <c r="H63" s="74">
        <f>F63-G63</f>
        <v>3611.1114000000016</v>
      </c>
    </row>
    <row r="64" spans="2:10" x14ac:dyDescent="0.25">
      <c r="B64" s="3" t="s">
        <v>5</v>
      </c>
      <c r="C64" s="74">
        <f>[2]KO_EEneu4neu!$F$242*277.7778</f>
        <v>28416.66894</v>
      </c>
      <c r="E64" s="3" t="s">
        <v>16</v>
      </c>
      <c r="F64" s="50">
        <f>C72-F63</f>
        <v>26472.224340000001</v>
      </c>
      <c r="G64" s="74">
        <v>0</v>
      </c>
      <c r="H64" s="74">
        <f>C64-H63</f>
        <v>24805.557539999998</v>
      </c>
    </row>
    <row r="65" spans="2:18" x14ac:dyDescent="0.25">
      <c r="B65" s="3" t="s">
        <v>0</v>
      </c>
      <c r="C65" s="74">
        <v>0</v>
      </c>
      <c r="E65" s="3" t="s">
        <v>9</v>
      </c>
      <c r="F65" s="74">
        <f>SUM(F63:F64)</f>
        <v>49250.003940000002</v>
      </c>
    </row>
    <row r="66" spans="2:18" x14ac:dyDescent="0.25">
      <c r="B66" s="3" t="s">
        <v>2</v>
      </c>
      <c r="C66" s="74">
        <v>0</v>
      </c>
    </row>
    <row r="67" spans="2:18" x14ac:dyDescent="0.25">
      <c r="B67" s="14" t="s">
        <v>9</v>
      </c>
      <c r="C67" s="44">
        <f>SUM(C64:C66)</f>
        <v>28416.66894</v>
      </c>
      <c r="F67" s="9"/>
    </row>
    <row r="68" spans="2:18" x14ac:dyDescent="0.25">
      <c r="B68" s="3" t="s">
        <v>1</v>
      </c>
      <c r="C68" s="74">
        <v>0</v>
      </c>
    </row>
    <row r="69" spans="2:18" x14ac:dyDescent="0.25">
      <c r="B69" s="3" t="s">
        <v>3</v>
      </c>
      <c r="C69" s="74">
        <f>[2]KO_EEneu4neu!$M$242*277.7778</f>
        <v>20833.335000000003</v>
      </c>
    </row>
    <row r="70" spans="2:18" x14ac:dyDescent="0.25">
      <c r="B70" s="3" t="s">
        <v>4</v>
      </c>
      <c r="C70" s="74">
        <v>0</v>
      </c>
    </row>
    <row r="71" spans="2:18" x14ac:dyDescent="0.25">
      <c r="B71" s="14" t="s">
        <v>9</v>
      </c>
      <c r="C71" s="44">
        <f>SUM(C68:C70)</f>
        <v>20833.335000000003</v>
      </c>
      <c r="G71" s="1"/>
      <c r="H71" s="1"/>
      <c r="I71" s="1"/>
      <c r="J71" s="1"/>
      <c r="K71" s="1"/>
      <c r="L71" s="1"/>
      <c r="M71" s="1"/>
      <c r="N71" s="1"/>
      <c r="O71" s="57"/>
      <c r="P71" s="1"/>
      <c r="Q71" s="1"/>
      <c r="R71" s="1"/>
    </row>
    <row r="72" spans="2:18" x14ac:dyDescent="0.25">
      <c r="B72" s="16" t="s">
        <v>15</v>
      </c>
      <c r="C72" s="45">
        <f>SUM(C71,C67)</f>
        <v>49250.003940000002</v>
      </c>
      <c r="D72" s="1"/>
      <c r="E72" s="1"/>
      <c r="F72" s="1"/>
    </row>
    <row r="74" spans="2:18" x14ac:dyDescent="0.25">
      <c r="B74" s="33" t="s">
        <v>23</v>
      </c>
      <c r="C74" s="74">
        <f>[2]KO_EEneu4neu!$C$214*277.7778</f>
        <v>18055.557000000001</v>
      </c>
      <c r="E74" s="3" t="s">
        <v>5</v>
      </c>
      <c r="F74" s="74">
        <f>C83</f>
        <v>18055.557000000001</v>
      </c>
    </row>
    <row r="75" spans="2:18" x14ac:dyDescent="0.25">
      <c r="B75" s="3" t="s">
        <v>5</v>
      </c>
      <c r="C75" s="74">
        <f>F37</f>
        <v>18055.557000000001</v>
      </c>
      <c r="E75" s="3" t="s">
        <v>12</v>
      </c>
      <c r="F75" s="74">
        <f>F45</f>
        <v>6944.4450000000015</v>
      </c>
    </row>
    <row r="76" spans="2:18" x14ac:dyDescent="0.25">
      <c r="B76" s="3" t="s">
        <v>0</v>
      </c>
      <c r="C76" s="74">
        <v>0</v>
      </c>
      <c r="E76" s="3" t="s">
        <v>14</v>
      </c>
      <c r="F76" s="74">
        <f>F95</f>
        <v>12777.780913125003</v>
      </c>
    </row>
    <row r="77" spans="2:18" x14ac:dyDescent="0.25">
      <c r="B77" s="3" t="s">
        <v>2</v>
      </c>
      <c r="C77" s="74">
        <v>0</v>
      </c>
      <c r="F77" s="76">
        <f>SUM(F74:F76)</f>
        <v>37777.782913125004</v>
      </c>
      <c r="G77" s="1"/>
      <c r="H77" s="1"/>
      <c r="I77" s="1"/>
      <c r="J77" s="1"/>
      <c r="K77" s="1"/>
      <c r="L77" s="1"/>
      <c r="M77" s="1"/>
      <c r="N77" s="1"/>
      <c r="O77" s="57"/>
      <c r="P77" s="1"/>
      <c r="Q77" s="1"/>
      <c r="R77" s="1"/>
    </row>
    <row r="78" spans="2:18" x14ac:dyDescent="0.25">
      <c r="B78" s="14" t="s">
        <v>9</v>
      </c>
      <c r="C78" s="44">
        <f>SUM(C75:C77)</f>
        <v>18055.557000000001</v>
      </c>
      <c r="E78" s="3" t="s">
        <v>29</v>
      </c>
      <c r="F78" s="74">
        <f>([2]KO_EEneu4neu!$E$272+[2]KO_EEneu4neu!$E$273+[2]KO_EEneu4neu!$E$274)*277.7778</f>
        <v>35833.336200000005</v>
      </c>
    </row>
    <row r="79" spans="2:18" x14ac:dyDescent="0.25">
      <c r="B79" s="3" t="s">
        <v>1</v>
      </c>
      <c r="C79" s="74">
        <v>0</v>
      </c>
      <c r="E79" s="22" t="s">
        <v>19</v>
      </c>
      <c r="F79" s="74">
        <f>F77-F78</f>
        <v>1944.4467131249985</v>
      </c>
    </row>
    <row r="80" spans="2:18" x14ac:dyDescent="0.25">
      <c r="B80" s="3" t="s">
        <v>3</v>
      </c>
      <c r="C80" s="74">
        <v>0</v>
      </c>
    </row>
    <row r="81" spans="2:18" x14ac:dyDescent="0.25">
      <c r="B81" s="3" t="s">
        <v>4</v>
      </c>
      <c r="C81" s="74">
        <v>0</v>
      </c>
    </row>
    <row r="82" spans="2:18" x14ac:dyDescent="0.25">
      <c r="B82" s="14" t="s">
        <v>9</v>
      </c>
      <c r="C82" s="44">
        <f>SUM(C79:C81)</f>
        <v>0</v>
      </c>
    </row>
    <row r="83" spans="2:18" x14ac:dyDescent="0.25">
      <c r="B83" s="16" t="s">
        <v>15</v>
      </c>
      <c r="C83" s="45">
        <f>SUM(C82,C78)</f>
        <v>18055.557000000001</v>
      </c>
    </row>
    <row r="86" spans="2:18" x14ac:dyDescent="0.25">
      <c r="B86" s="29" t="s">
        <v>40</v>
      </c>
      <c r="C86" s="30">
        <f>[2]KO_EEneu4neu!$E$244*277.7778</f>
        <v>17777.779200000001</v>
      </c>
    </row>
    <row r="87" spans="2:18" x14ac:dyDescent="0.25">
      <c r="B87" s="3" t="s">
        <v>5</v>
      </c>
      <c r="C87" s="88">
        <f>I30</f>
        <v>4083.3336599999998</v>
      </c>
    </row>
    <row r="88" spans="2:18" x14ac:dyDescent="0.25">
      <c r="B88" s="22" t="s">
        <v>7</v>
      </c>
      <c r="C88" s="88">
        <f>([2]KO_EEneu4neu!$H$244+[2]KO_EEneu4neu!$J$244+[2]KO_EEneu4neu!$L$244)*277.7778</f>
        <v>13694.445540000004</v>
      </c>
    </row>
    <row r="89" spans="2:18" x14ac:dyDescent="0.25">
      <c r="B89" s="6" t="s">
        <v>9</v>
      </c>
      <c r="C89" s="13">
        <f>SUM(C87:C88)</f>
        <v>17777.779200000004</v>
      </c>
    </row>
    <row r="91" spans="2:18" x14ac:dyDescent="0.25">
      <c r="B91" t="s">
        <v>28</v>
      </c>
      <c r="C91" s="35">
        <f>C92/E37</f>
        <v>0.35968824615939077</v>
      </c>
      <c r="F91" s="10"/>
      <c r="M91" s="1"/>
      <c r="N91" s="1"/>
      <c r="O91" s="57"/>
      <c r="P91" s="1"/>
      <c r="Q91" s="1"/>
      <c r="R91" s="1"/>
    </row>
    <row r="92" spans="2:18" x14ac:dyDescent="0.25">
      <c r="B92" t="s">
        <v>19</v>
      </c>
      <c r="C92" s="9">
        <f>E37-C88-C126</f>
        <v>10560.847405714281</v>
      </c>
      <c r="D92" s="10"/>
      <c r="F92" s="10"/>
    </row>
    <row r="93" spans="2:18" x14ac:dyDescent="0.25">
      <c r="F93" s="10"/>
    </row>
    <row r="95" spans="2:18" x14ac:dyDescent="0.25">
      <c r="B95" s="29" t="s">
        <v>26</v>
      </c>
      <c r="C95" s="88">
        <f>[2]KO_EEneu4neu!$E$273*277.7778</f>
        <v>12777.778800000002</v>
      </c>
      <c r="D95" t="s">
        <v>7</v>
      </c>
      <c r="E95" s="3" t="s">
        <v>27</v>
      </c>
      <c r="F95" s="23">
        <f>C104</f>
        <v>12777.780913125003</v>
      </c>
    </row>
    <row r="96" spans="2:18" x14ac:dyDescent="0.25">
      <c r="B96" s="3" t="s">
        <v>5</v>
      </c>
      <c r="C96" s="88">
        <f>[2]KO_EEneu4neu!$F$273*277.778</f>
        <v>2934.8981812500001</v>
      </c>
      <c r="D96" s="9"/>
    </row>
    <row r="97" spans="2:7" x14ac:dyDescent="0.25">
      <c r="B97" s="3" t="s">
        <v>0</v>
      </c>
      <c r="D97" s="88">
        <f>[2]KO_EEneu4neu!$H$245*277.7778</f>
        <v>5121.6513742017514</v>
      </c>
    </row>
    <row r="98" spans="2:7" x14ac:dyDescent="0.25">
      <c r="B98" s="3" t="s">
        <v>2</v>
      </c>
      <c r="D98" s="88">
        <f>[2]KO_EEneu4neu!$L$245*277.7778</f>
        <v>2127.8133436456369</v>
      </c>
      <c r="F98" s="10"/>
    </row>
    <row r="99" spans="2:7" x14ac:dyDescent="0.25">
      <c r="B99" s="14" t="s">
        <v>9</v>
      </c>
      <c r="C99" s="12">
        <f>C96+D97+D98</f>
        <v>10184.362899097388</v>
      </c>
    </row>
    <row r="100" spans="2:7" x14ac:dyDescent="0.25">
      <c r="B100" s="3" t="s">
        <v>1</v>
      </c>
      <c r="D100" s="88">
        <f>[2]KO_EEneu4neu!$J$245*277.7778</f>
        <v>2593.4180140276144</v>
      </c>
    </row>
    <row r="101" spans="2:7" x14ac:dyDescent="0.25">
      <c r="B101" s="3" t="s">
        <v>3</v>
      </c>
      <c r="C101" s="88">
        <v>0</v>
      </c>
    </row>
    <row r="102" spans="2:7" x14ac:dyDescent="0.25">
      <c r="B102" s="3" t="s">
        <v>4</v>
      </c>
      <c r="C102" s="88">
        <v>0</v>
      </c>
    </row>
    <row r="103" spans="2:7" x14ac:dyDescent="0.25">
      <c r="B103" s="14" t="s">
        <v>9</v>
      </c>
      <c r="C103" s="12">
        <f>D100+C101+C102</f>
        <v>2593.4180140276144</v>
      </c>
    </row>
    <row r="104" spans="2:7" x14ac:dyDescent="0.25">
      <c r="B104" s="16" t="s">
        <v>15</v>
      </c>
      <c r="C104" s="20">
        <f>SUM(C103,C99)</f>
        <v>12777.780913125003</v>
      </c>
      <c r="D104" s="10">
        <f>SUM(D96:D103)</f>
        <v>9842.8827318750027</v>
      </c>
    </row>
    <row r="106" spans="2:7" x14ac:dyDescent="0.25">
      <c r="B106" s="29" t="s">
        <v>24</v>
      </c>
      <c r="C106" s="88">
        <f>([2]KO_EEneu4neu!$E$265)*277.7778</f>
        <v>4166.6670000000013</v>
      </c>
      <c r="E106" s="3" t="s">
        <v>20</v>
      </c>
      <c r="F106" s="23">
        <f>C115</f>
        <v>4166.6670000000004</v>
      </c>
    </row>
    <row r="107" spans="2:7" x14ac:dyDescent="0.25">
      <c r="B107" s="3" t="s">
        <v>5</v>
      </c>
      <c r="C107" s="88">
        <f>([2]KO_EEneu4neu!$F$265)*277.7778</f>
        <v>957.0313265625</v>
      </c>
    </row>
    <row r="108" spans="2:7" x14ac:dyDescent="0.25">
      <c r="B108" s="3" t="s">
        <v>0</v>
      </c>
      <c r="C108" s="88">
        <f>[2]KO_EEneu4neu!$H$265*277.7778</f>
        <v>1670.1037089788319</v>
      </c>
    </row>
    <row r="109" spans="2:7" x14ac:dyDescent="0.25">
      <c r="B109" s="3" t="s">
        <v>2</v>
      </c>
      <c r="C109" s="88">
        <f>([2]KO_EEneu4neu!$L$265)*277.7778</f>
        <v>693.85217727575105</v>
      </c>
      <c r="E109" s="36" t="s">
        <v>40</v>
      </c>
      <c r="F109" s="30">
        <f>C86</f>
        <v>17777.779200000001</v>
      </c>
    </row>
    <row r="110" spans="2:7" x14ac:dyDescent="0.25">
      <c r="B110" s="14" t="s">
        <v>9</v>
      </c>
      <c r="C110" s="15">
        <f>SUM(C107:C109)</f>
        <v>3320.9872128170828</v>
      </c>
      <c r="E110" s="3" t="s">
        <v>41</v>
      </c>
      <c r="F110" s="88">
        <f>[2]KO_EEneu4neu!$E$273*277.7778</f>
        <v>12777.778800000002</v>
      </c>
    </row>
    <row r="111" spans="2:7" x14ac:dyDescent="0.25">
      <c r="B111" s="3" t="s">
        <v>1</v>
      </c>
      <c r="C111" s="88">
        <f>[2]KO_EEneu4neu!$J$265*277.7778</f>
        <v>845.67978718291772</v>
      </c>
      <c r="E111" s="3" t="s">
        <v>42</v>
      </c>
      <c r="F111" s="88">
        <f>[2]KO_EEneu4neu!$E$265*277.7778</f>
        <v>4166.6670000000013</v>
      </c>
      <c r="G111" s="1"/>
    </row>
    <row r="112" spans="2:7" x14ac:dyDescent="0.25">
      <c r="B112" s="3" t="s">
        <v>3</v>
      </c>
      <c r="C112" s="88">
        <v>0</v>
      </c>
      <c r="E112" s="2" t="s">
        <v>19</v>
      </c>
      <c r="F112" s="37">
        <f>F109-F110-F111</f>
        <v>833.33339999999771</v>
      </c>
    </row>
    <row r="113" spans="2:6" x14ac:dyDescent="0.25">
      <c r="B113" s="3" t="s">
        <v>4</v>
      </c>
      <c r="C113" s="88">
        <v>0</v>
      </c>
    </row>
    <row r="114" spans="2:6" x14ac:dyDescent="0.25">
      <c r="B114" s="14" t="s">
        <v>9</v>
      </c>
      <c r="C114" s="15">
        <f>SUM(C111:C113)</f>
        <v>845.67978718291772</v>
      </c>
    </row>
    <row r="115" spans="2:6" x14ac:dyDescent="0.25">
      <c r="B115" s="16" t="s">
        <v>15</v>
      </c>
      <c r="C115" s="17">
        <f>SUM(C114,C110)</f>
        <v>4166.6670000000004</v>
      </c>
    </row>
    <row r="118" spans="2:6" x14ac:dyDescent="0.25">
      <c r="B118" s="31" t="s">
        <v>25</v>
      </c>
      <c r="C118" s="88">
        <f>[2]KO_EEneu4neu!$E$266*277.7778</f>
        <v>11111.112000000001</v>
      </c>
      <c r="E118" s="3" t="s">
        <v>20</v>
      </c>
      <c r="F118" s="23">
        <f>C127</f>
        <v>11411.376574285714</v>
      </c>
    </row>
    <row r="119" spans="2:6" x14ac:dyDescent="0.25">
      <c r="B119" s="3" t="s">
        <v>5</v>
      </c>
      <c r="C119" s="88">
        <f>H30</f>
        <v>6305.5560599999999</v>
      </c>
      <c r="D119" s="9"/>
    </row>
    <row r="120" spans="2:6" x14ac:dyDescent="0.25">
      <c r="B120" s="3" t="s">
        <v>62</v>
      </c>
      <c r="C120" s="88">
        <f>[2]KO_EEneu4neu!$H$266*277.7778</f>
        <v>2656.7656413028794</v>
      </c>
    </row>
    <row r="121" spans="2:6" x14ac:dyDescent="0.25">
      <c r="B121" s="3" t="s">
        <v>63</v>
      </c>
      <c r="C121" s="88">
        <f>[2]KO_EEneu4neu!$L$266*277.7778</f>
        <v>1103.7653618867416</v>
      </c>
    </row>
    <row r="122" spans="2:6" x14ac:dyDescent="0.25">
      <c r="B122" s="14" t="s">
        <v>9</v>
      </c>
      <c r="C122" s="12">
        <f>C119+C120+C121</f>
        <v>10066.087063189621</v>
      </c>
      <c r="D122" s="9"/>
    </row>
    <row r="123" spans="2:6" x14ac:dyDescent="0.25">
      <c r="B123" s="3" t="s">
        <v>64</v>
      </c>
      <c r="C123" s="88">
        <f>[2]KO_EEneu4neu!$J$266*277.7778</f>
        <v>1345.2895110960944</v>
      </c>
      <c r="E123" s="36" t="s">
        <v>43</v>
      </c>
      <c r="F123" s="30">
        <f>[2]KO_EEneu4neu!$E$266*277.7778</f>
        <v>11111.112000000001</v>
      </c>
    </row>
    <row r="124" spans="2:6" x14ac:dyDescent="0.25">
      <c r="B124" s="3" t="s">
        <v>3</v>
      </c>
      <c r="C124" s="88">
        <v>0</v>
      </c>
      <c r="D124" s="9"/>
      <c r="E124" s="3" t="s">
        <v>44</v>
      </c>
      <c r="F124" s="88"/>
    </row>
    <row r="125" spans="2:6" x14ac:dyDescent="0.25">
      <c r="B125" s="3" t="s">
        <v>4</v>
      </c>
      <c r="C125" s="88">
        <v>0</v>
      </c>
      <c r="D125" s="9"/>
      <c r="E125" s="2" t="s">
        <v>19</v>
      </c>
      <c r="F125" s="37">
        <f>F118-F123</f>
        <v>300.26457428571302</v>
      </c>
    </row>
    <row r="126" spans="2:6" x14ac:dyDescent="0.25">
      <c r="B126" s="14" t="s">
        <v>65</v>
      </c>
      <c r="C126" s="12">
        <f>C120+C121+C123</f>
        <v>5105.820514285715</v>
      </c>
      <c r="D126" s="9"/>
    </row>
    <row r="127" spans="2:6" x14ac:dyDescent="0.25">
      <c r="B127" s="16" t="s">
        <v>15</v>
      </c>
      <c r="C127" s="20">
        <f>SUM(C126,C119)</f>
        <v>11411.376574285714</v>
      </c>
      <c r="D127" s="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5"/>
  <sheetViews>
    <sheetView topLeftCell="A457" zoomScale="70" zoomScaleNormal="70" workbookViewId="0">
      <selection activeCell="L359" sqref="L359"/>
    </sheetView>
  </sheetViews>
  <sheetFormatPr baseColWidth="10" defaultColWidth="11.5703125" defaultRowHeight="15" x14ac:dyDescent="0.25"/>
  <cols>
    <col min="1" max="1" width="11.5703125" style="89"/>
    <col min="2" max="2" width="29.7109375" style="89" customWidth="1"/>
    <col min="3" max="3" width="13.7109375" style="89" customWidth="1"/>
    <col min="4" max="4" width="14.85546875" style="89" customWidth="1"/>
    <col min="5" max="16384" width="11.5703125" style="89"/>
  </cols>
  <sheetData>
    <row r="1" spans="2:23" x14ac:dyDescent="0.25">
      <c r="K1" s="90" t="s">
        <v>114</v>
      </c>
    </row>
    <row r="2" spans="2:23" ht="20.25" thickBot="1" x14ac:dyDescent="0.35">
      <c r="B2" s="181" t="s">
        <v>346</v>
      </c>
      <c r="K2" s="90" t="s">
        <v>115</v>
      </c>
      <c r="L2" s="91">
        <v>0.5</v>
      </c>
    </row>
    <row r="3" spans="2:23" ht="21" thickTop="1" thickBot="1" x14ac:dyDescent="0.35">
      <c r="B3" s="181" t="s">
        <v>347</v>
      </c>
      <c r="K3" s="90" t="s">
        <v>116</v>
      </c>
      <c r="L3" s="91">
        <v>0.5</v>
      </c>
    </row>
    <row r="4" spans="2:23" ht="15.75" thickTop="1" x14ac:dyDescent="0.25">
      <c r="K4" s="92" t="s">
        <v>117</v>
      </c>
      <c r="L4" s="93">
        <v>0.1</v>
      </c>
      <c r="M4" s="89">
        <f>1-L4</f>
        <v>0.9</v>
      </c>
    </row>
    <row r="5" spans="2:23" x14ac:dyDescent="0.25">
      <c r="C5" s="90" t="s">
        <v>118</v>
      </c>
      <c r="D5" s="90" t="s">
        <v>119</v>
      </c>
      <c r="E5" s="90" t="s">
        <v>120</v>
      </c>
      <c r="F5" s="90" t="s">
        <v>121</v>
      </c>
      <c r="G5" s="90" t="s">
        <v>122</v>
      </c>
      <c r="H5" s="90" t="s">
        <v>123</v>
      </c>
      <c r="I5" s="90" t="s">
        <v>124</v>
      </c>
      <c r="J5" s="90" t="s">
        <v>125</v>
      </c>
    </row>
    <row r="6" spans="2:23" ht="46.5" x14ac:dyDescent="0.35">
      <c r="B6" s="94" t="s">
        <v>126</v>
      </c>
      <c r="C6" s="95">
        <v>2010</v>
      </c>
      <c r="D6" s="95">
        <v>2050</v>
      </c>
      <c r="E6" s="95">
        <v>2050</v>
      </c>
      <c r="F6" s="95">
        <v>2050</v>
      </c>
      <c r="G6" s="95">
        <v>2050</v>
      </c>
      <c r="H6" s="95">
        <v>2050</v>
      </c>
      <c r="I6" s="95">
        <v>2050</v>
      </c>
      <c r="J6" s="96">
        <v>2050</v>
      </c>
      <c r="R6" s="89">
        <v>2005</v>
      </c>
      <c r="S6" s="89">
        <v>2013</v>
      </c>
      <c r="T6" s="89">
        <v>2010</v>
      </c>
      <c r="U6" s="89">
        <v>2030</v>
      </c>
      <c r="V6" s="89">
        <v>2030</v>
      </c>
    </row>
    <row r="7" spans="2:23" ht="61.5" x14ac:dyDescent="0.35">
      <c r="B7" s="94"/>
      <c r="C7" s="97" t="s">
        <v>127</v>
      </c>
      <c r="D7" s="97" t="s">
        <v>128</v>
      </c>
      <c r="E7" s="97" t="s">
        <v>129</v>
      </c>
      <c r="F7" s="97" t="s">
        <v>130</v>
      </c>
      <c r="G7" s="97" t="s">
        <v>131</v>
      </c>
      <c r="H7" s="97" t="s">
        <v>132</v>
      </c>
      <c r="I7" s="97" t="s">
        <v>133</v>
      </c>
      <c r="J7" s="97" t="s">
        <v>134</v>
      </c>
      <c r="K7" s="90" t="s">
        <v>11</v>
      </c>
      <c r="L7" s="90" t="s">
        <v>34</v>
      </c>
      <c r="M7" s="90" t="s">
        <v>16</v>
      </c>
      <c r="N7" s="90" t="s">
        <v>135</v>
      </c>
      <c r="R7" s="90" t="s">
        <v>136</v>
      </c>
      <c r="S7" s="90" t="s">
        <v>136</v>
      </c>
      <c r="T7" s="90" t="s">
        <v>131</v>
      </c>
      <c r="U7" s="90" t="s">
        <v>136</v>
      </c>
      <c r="V7" s="90" t="s">
        <v>131</v>
      </c>
    </row>
    <row r="8" spans="2:23" ht="18.75" x14ac:dyDescent="0.3">
      <c r="B8" s="98" t="s">
        <v>137</v>
      </c>
      <c r="C8" s="99" t="s">
        <v>92</v>
      </c>
      <c r="D8" s="99" t="s">
        <v>92</v>
      </c>
      <c r="E8" s="99" t="s">
        <v>92</v>
      </c>
      <c r="F8" s="99" t="s">
        <v>92</v>
      </c>
      <c r="G8" s="99" t="s">
        <v>92</v>
      </c>
      <c r="H8" s="99"/>
      <c r="I8" s="99"/>
      <c r="J8" s="99"/>
      <c r="K8" s="90"/>
      <c r="L8" s="90"/>
      <c r="M8" s="90"/>
      <c r="N8" s="90"/>
      <c r="R8" s="90"/>
      <c r="S8" s="90"/>
      <c r="T8" s="90"/>
      <c r="U8" s="90"/>
      <c r="V8" s="90"/>
    </row>
    <row r="9" spans="2:23" x14ac:dyDescent="0.25">
      <c r="B9" s="100" t="s">
        <v>0</v>
      </c>
      <c r="C9" s="101">
        <f>E305</f>
        <v>138</v>
      </c>
      <c r="D9" s="101">
        <f>E218</f>
        <v>161.30000000000001</v>
      </c>
      <c r="E9" s="101">
        <f>F218</f>
        <v>177</v>
      </c>
      <c r="F9" s="101">
        <f>N298</f>
        <v>155</v>
      </c>
      <c r="G9" s="101">
        <f>G305</f>
        <v>163</v>
      </c>
      <c r="H9" s="101">
        <f>N404/1000</f>
        <v>173.22629999999998</v>
      </c>
      <c r="I9" s="101">
        <f>E9</f>
        <v>177</v>
      </c>
      <c r="J9" s="102">
        <f>E9</f>
        <v>177</v>
      </c>
      <c r="R9" s="89">
        <f t="shared" ref="R9:S19" si="0">K298</f>
        <v>132</v>
      </c>
      <c r="S9" s="89">
        <f t="shared" si="0"/>
        <v>151</v>
      </c>
      <c r="T9" s="89">
        <f>E305</f>
        <v>138</v>
      </c>
      <c r="U9" s="89">
        <f t="shared" ref="U9:U19" si="1">M298</f>
        <v>155</v>
      </c>
      <c r="V9" s="89">
        <f>F305</f>
        <v>154</v>
      </c>
    </row>
    <row r="10" spans="2:23" x14ac:dyDescent="0.25">
      <c r="B10" s="100" t="s">
        <v>138</v>
      </c>
      <c r="C10" s="101">
        <f>E306</f>
        <v>7</v>
      </c>
      <c r="D10" s="101">
        <f>E220</f>
        <v>48.6</v>
      </c>
      <c r="E10" s="101">
        <f>F220</f>
        <v>51.9</v>
      </c>
      <c r="F10" s="101">
        <f t="shared" ref="F10:F19" si="2">N299</f>
        <v>43</v>
      </c>
      <c r="G10" s="101">
        <f>G306</f>
        <v>76</v>
      </c>
      <c r="H10" s="101">
        <f t="shared" ref="H10:H21" si="3">N405/1000</f>
        <v>106.06830000000001</v>
      </c>
      <c r="I10" s="101">
        <f>E10+E15*L2</f>
        <v>87.199999999999989</v>
      </c>
      <c r="J10" s="102">
        <f>I10+(J52-I52)*L2/M4</f>
        <v>108.86666666666666</v>
      </c>
      <c r="R10" s="89">
        <f t="shared" si="0"/>
        <v>5</v>
      </c>
      <c r="S10" s="89">
        <f t="shared" si="0"/>
        <v>11</v>
      </c>
      <c r="T10" s="89">
        <f>E306</f>
        <v>7</v>
      </c>
      <c r="U10" s="89">
        <f t="shared" si="1"/>
        <v>43</v>
      </c>
      <c r="V10" s="89">
        <f>F306</f>
        <v>63</v>
      </c>
    </row>
    <row r="11" spans="2:23" x14ac:dyDescent="0.25">
      <c r="B11" s="103" t="s">
        <v>1</v>
      </c>
      <c r="C11" s="104">
        <f>E307</f>
        <v>0</v>
      </c>
      <c r="D11" s="104">
        <f>E219</f>
        <v>57.900000000000006</v>
      </c>
      <c r="E11" s="104">
        <f>F219</f>
        <v>70.400000000000006</v>
      </c>
      <c r="F11" s="104">
        <f t="shared" si="2"/>
        <v>108</v>
      </c>
      <c r="G11" s="104">
        <f>G307</f>
        <v>85</v>
      </c>
      <c r="H11" s="104">
        <f t="shared" si="3"/>
        <v>100.59939999999999</v>
      </c>
      <c r="I11" s="104">
        <f>E11+E15*(1-L2)</f>
        <v>105.7</v>
      </c>
      <c r="J11" s="105">
        <f>I11+(J52-I52)*(1-L2)/M4</f>
        <v>127.36666666666667</v>
      </c>
      <c r="R11" s="89">
        <f t="shared" si="0"/>
        <v>0</v>
      </c>
      <c r="S11" s="89">
        <f t="shared" si="0"/>
        <v>2</v>
      </c>
      <c r="T11" s="89">
        <f>E307</f>
        <v>0</v>
      </c>
      <c r="U11" s="89">
        <f t="shared" si="1"/>
        <v>46</v>
      </c>
      <c r="V11" s="89">
        <f>F307</f>
        <v>53</v>
      </c>
    </row>
    <row r="12" spans="2:23" x14ac:dyDescent="0.25">
      <c r="B12" s="106" t="s">
        <v>139</v>
      </c>
      <c r="C12" s="107">
        <f>E302</f>
        <v>237</v>
      </c>
      <c r="D12" s="107">
        <f>E217</f>
        <v>244</v>
      </c>
      <c r="E12" s="107">
        <f>F217</f>
        <v>293</v>
      </c>
      <c r="F12" s="107">
        <f t="shared" si="2"/>
        <v>284</v>
      </c>
      <c r="G12" s="107">
        <f>G302</f>
        <v>282</v>
      </c>
      <c r="H12" s="107">
        <f t="shared" si="3"/>
        <v>242.10040000000001</v>
      </c>
      <c r="I12" s="107">
        <f>E12</f>
        <v>293</v>
      </c>
      <c r="J12" s="108">
        <f>I12</f>
        <v>293</v>
      </c>
      <c r="K12" s="89">
        <f>F186</f>
        <v>13</v>
      </c>
      <c r="R12" s="91">
        <f t="shared" si="0"/>
        <v>159</v>
      </c>
      <c r="S12" s="89">
        <f t="shared" si="0"/>
        <v>245</v>
      </c>
      <c r="T12" s="89">
        <f>E302</f>
        <v>237</v>
      </c>
      <c r="U12" s="89">
        <f t="shared" si="1"/>
        <v>259</v>
      </c>
      <c r="V12" s="89">
        <f>F302</f>
        <v>319</v>
      </c>
    </row>
    <row r="13" spans="2:23" x14ac:dyDescent="0.25">
      <c r="B13" s="103" t="s">
        <v>3</v>
      </c>
      <c r="C13" s="104">
        <v>0</v>
      </c>
      <c r="D13" s="104">
        <f t="shared" ref="D13:E15" si="4">E221</f>
        <v>50</v>
      </c>
      <c r="E13" s="104">
        <f t="shared" si="4"/>
        <v>75</v>
      </c>
      <c r="F13" s="104">
        <f t="shared" si="2"/>
        <v>64</v>
      </c>
      <c r="G13" s="104">
        <v>0</v>
      </c>
      <c r="H13" s="104">
        <f t="shared" si="3"/>
        <v>20.502800000000001</v>
      </c>
      <c r="I13" s="104">
        <f>E13</f>
        <v>75</v>
      </c>
      <c r="J13" s="105">
        <f>E13</f>
        <v>75</v>
      </c>
      <c r="R13" s="89">
        <f t="shared" si="0"/>
        <v>4</v>
      </c>
      <c r="S13" s="89">
        <f t="shared" si="0"/>
        <v>7</v>
      </c>
      <c r="T13" s="89">
        <v>0</v>
      </c>
      <c r="U13" s="89">
        <f t="shared" si="1"/>
        <v>45</v>
      </c>
      <c r="V13" s="89">
        <v>0</v>
      </c>
    </row>
    <row r="14" spans="2:23" x14ac:dyDescent="0.25">
      <c r="B14" s="109" t="s">
        <v>140</v>
      </c>
      <c r="C14" s="104">
        <f>E303</f>
        <v>13</v>
      </c>
      <c r="D14" s="104">
        <f t="shared" si="4"/>
        <v>49</v>
      </c>
      <c r="E14" s="104">
        <f t="shared" si="4"/>
        <v>68</v>
      </c>
      <c r="F14" s="104">
        <f t="shared" si="2"/>
        <v>56</v>
      </c>
      <c r="G14" s="104">
        <f>G303</f>
        <v>54</v>
      </c>
      <c r="H14" s="104">
        <f t="shared" si="3"/>
        <v>20.502800000000001</v>
      </c>
      <c r="I14" s="104">
        <f>E14</f>
        <v>68</v>
      </c>
      <c r="J14" s="105">
        <f>E14</f>
        <v>68</v>
      </c>
      <c r="K14" s="90" t="s">
        <v>141</v>
      </c>
      <c r="R14" s="89">
        <f t="shared" si="0"/>
        <v>3</v>
      </c>
      <c r="S14" s="89">
        <f t="shared" si="0"/>
        <v>8</v>
      </c>
      <c r="T14" s="91">
        <f>E303</f>
        <v>13</v>
      </c>
      <c r="U14" s="89">
        <f t="shared" si="1"/>
        <v>41</v>
      </c>
      <c r="V14" s="89">
        <f>F303</f>
        <v>41</v>
      </c>
      <c r="W14" s="90" t="s">
        <v>142</v>
      </c>
    </row>
    <row r="15" spans="2:23" x14ac:dyDescent="0.25">
      <c r="B15" s="100" t="s">
        <v>143</v>
      </c>
      <c r="C15" s="101">
        <v>0</v>
      </c>
      <c r="D15" s="101">
        <f t="shared" si="4"/>
        <v>10.6</v>
      </c>
      <c r="E15" s="101">
        <f t="shared" si="4"/>
        <v>70.599999999999994</v>
      </c>
      <c r="F15" s="101">
        <f t="shared" si="2"/>
        <v>55</v>
      </c>
      <c r="G15" s="101">
        <v>0</v>
      </c>
      <c r="H15" s="101">
        <f t="shared" si="3"/>
        <v>0</v>
      </c>
      <c r="I15" s="101">
        <v>0</v>
      </c>
      <c r="J15" s="102">
        <v>0</v>
      </c>
      <c r="R15" s="89">
        <f t="shared" si="0"/>
        <v>0</v>
      </c>
      <c r="S15" s="89">
        <f t="shared" si="0"/>
        <v>0</v>
      </c>
      <c r="T15" s="89">
        <v>0</v>
      </c>
      <c r="U15" s="89">
        <f t="shared" si="1"/>
        <v>0</v>
      </c>
      <c r="V15" s="89">
        <v>0</v>
      </c>
    </row>
    <row r="16" spans="2:23" x14ac:dyDescent="0.25">
      <c r="B16" s="110" t="s">
        <v>74</v>
      </c>
      <c r="C16" s="111">
        <f>E300</f>
        <v>344</v>
      </c>
      <c r="D16" s="111">
        <v>0</v>
      </c>
      <c r="E16" s="111">
        <v>0</v>
      </c>
      <c r="F16" s="111">
        <f t="shared" si="2"/>
        <v>0</v>
      </c>
      <c r="G16" s="111">
        <f>G300</f>
        <v>135</v>
      </c>
      <c r="H16" s="111">
        <f t="shared" si="3"/>
        <v>78</v>
      </c>
      <c r="I16" s="111">
        <f t="shared" ref="I16:I21" si="5">E16</f>
        <v>0</v>
      </c>
      <c r="J16" s="112">
        <f t="shared" ref="J16:J21" si="6">I16</f>
        <v>0</v>
      </c>
      <c r="R16" s="89">
        <f t="shared" si="0"/>
        <v>342</v>
      </c>
      <c r="S16" s="89">
        <f t="shared" si="0"/>
        <v>294</v>
      </c>
      <c r="T16" s="89">
        <f>E300</f>
        <v>344</v>
      </c>
      <c r="U16" s="89">
        <f t="shared" si="1"/>
        <v>94</v>
      </c>
      <c r="V16" s="89">
        <f>F300</f>
        <v>217</v>
      </c>
    </row>
    <row r="17" spans="2:22" x14ac:dyDescent="0.25">
      <c r="B17" s="110" t="s">
        <v>144</v>
      </c>
      <c r="C17" s="111">
        <f>E299</f>
        <v>549</v>
      </c>
      <c r="D17" s="111">
        <v>0</v>
      </c>
      <c r="E17" s="111">
        <v>0</v>
      </c>
      <c r="F17" s="111">
        <f t="shared" si="2"/>
        <v>73</v>
      </c>
      <c r="G17" s="111">
        <f>G299</f>
        <v>82</v>
      </c>
      <c r="H17" s="111">
        <f t="shared" si="3"/>
        <v>45</v>
      </c>
      <c r="I17" s="111">
        <f t="shared" si="5"/>
        <v>0</v>
      </c>
      <c r="J17" s="112">
        <f t="shared" si="6"/>
        <v>0</v>
      </c>
      <c r="R17" s="89">
        <f t="shared" si="0"/>
        <v>611</v>
      </c>
      <c r="S17" s="91">
        <f t="shared" si="0"/>
        <v>516</v>
      </c>
      <c r="T17" s="89">
        <f>E299</f>
        <v>549</v>
      </c>
      <c r="U17" s="89">
        <f t="shared" si="1"/>
        <v>211</v>
      </c>
      <c r="V17" s="89">
        <f>F299</f>
        <v>308</v>
      </c>
    </row>
    <row r="18" spans="2:22" x14ac:dyDescent="0.25">
      <c r="B18" s="110" t="s">
        <v>145</v>
      </c>
      <c r="C18" s="111">
        <f>E298</f>
        <v>143</v>
      </c>
      <c r="D18" s="111">
        <v>0</v>
      </c>
      <c r="E18" s="111">
        <v>0</v>
      </c>
      <c r="F18" s="111">
        <f t="shared" si="2"/>
        <v>0</v>
      </c>
      <c r="G18" s="111">
        <f>G298</f>
        <v>1</v>
      </c>
      <c r="H18" s="111">
        <f t="shared" si="3"/>
        <v>2</v>
      </c>
      <c r="I18" s="111">
        <f t="shared" si="5"/>
        <v>0</v>
      </c>
      <c r="J18" s="112">
        <f t="shared" si="6"/>
        <v>0</v>
      </c>
      <c r="R18" s="89">
        <f t="shared" si="0"/>
        <v>168</v>
      </c>
      <c r="S18" s="89">
        <f t="shared" si="0"/>
        <v>138</v>
      </c>
      <c r="T18" s="89">
        <f>E298</f>
        <v>143</v>
      </c>
      <c r="U18" s="89">
        <f t="shared" si="1"/>
        <v>79</v>
      </c>
      <c r="V18" s="89">
        <f>F298</f>
        <v>46</v>
      </c>
    </row>
    <row r="19" spans="2:22" x14ac:dyDescent="0.25">
      <c r="B19" s="110" t="s">
        <v>146</v>
      </c>
      <c r="C19" s="111">
        <f>E301</f>
        <v>28</v>
      </c>
      <c r="D19" s="111">
        <v>0</v>
      </c>
      <c r="E19" s="111">
        <v>0</v>
      </c>
      <c r="F19" s="111">
        <f t="shared" si="2"/>
        <v>27</v>
      </c>
      <c r="G19" s="111">
        <f>G301</f>
        <v>24</v>
      </c>
      <c r="H19" s="111">
        <f t="shared" si="3"/>
        <v>14</v>
      </c>
      <c r="I19" s="111">
        <f t="shared" si="5"/>
        <v>0</v>
      </c>
      <c r="J19" s="112">
        <f t="shared" si="6"/>
        <v>0</v>
      </c>
      <c r="R19" s="89">
        <f t="shared" si="0"/>
        <v>16</v>
      </c>
      <c r="S19" s="89">
        <f t="shared" si="0"/>
        <v>27</v>
      </c>
      <c r="T19" s="89">
        <f>E301</f>
        <v>28</v>
      </c>
      <c r="U19" s="89">
        <f t="shared" si="1"/>
        <v>27</v>
      </c>
      <c r="V19" s="89">
        <f>F301</f>
        <v>28</v>
      </c>
    </row>
    <row r="20" spans="2:22" x14ac:dyDescent="0.25">
      <c r="B20" s="110" t="s">
        <v>147</v>
      </c>
      <c r="C20" s="111">
        <f>E308</f>
        <v>0</v>
      </c>
      <c r="D20" s="111">
        <v>0</v>
      </c>
      <c r="E20" s="111">
        <v>0</v>
      </c>
      <c r="F20" s="111">
        <v>0</v>
      </c>
      <c r="G20" s="111">
        <f>G308</f>
        <v>21</v>
      </c>
      <c r="H20" s="111">
        <f t="shared" si="3"/>
        <v>0</v>
      </c>
      <c r="I20" s="111">
        <f t="shared" si="5"/>
        <v>0</v>
      </c>
      <c r="J20" s="112">
        <f t="shared" si="6"/>
        <v>0</v>
      </c>
      <c r="T20" s="89">
        <f>E308</f>
        <v>0</v>
      </c>
      <c r="V20" s="89">
        <f>F308</f>
        <v>1</v>
      </c>
    </row>
    <row r="21" spans="2:22" x14ac:dyDescent="0.25">
      <c r="B21" s="113" t="s">
        <v>148</v>
      </c>
      <c r="C21" s="111">
        <f>E304</f>
        <v>8</v>
      </c>
      <c r="D21" s="111">
        <v>0</v>
      </c>
      <c r="E21" s="111">
        <v>0</v>
      </c>
      <c r="F21" s="111">
        <v>0</v>
      </c>
      <c r="G21" s="111">
        <f>G304</f>
        <v>-71</v>
      </c>
      <c r="H21" s="111">
        <f t="shared" si="3"/>
        <v>0</v>
      </c>
      <c r="I21" s="111">
        <f t="shared" si="5"/>
        <v>0</v>
      </c>
      <c r="J21" s="112">
        <f t="shared" si="6"/>
        <v>0</v>
      </c>
      <c r="T21" s="89">
        <f>E304</f>
        <v>8</v>
      </c>
      <c r="V21" s="89">
        <f>F304</f>
        <v>-51</v>
      </c>
    </row>
    <row r="22" spans="2:22" x14ac:dyDescent="0.25">
      <c r="B22" s="90" t="s">
        <v>13</v>
      </c>
      <c r="C22" s="114">
        <f t="shared" ref="C22:J22" si="7">SUM(C9:C21)</f>
        <v>1467</v>
      </c>
      <c r="D22" s="114">
        <f t="shared" si="7"/>
        <v>621.4</v>
      </c>
      <c r="E22" s="114">
        <f t="shared" si="7"/>
        <v>805.9</v>
      </c>
      <c r="F22" s="114">
        <f t="shared" si="7"/>
        <v>865</v>
      </c>
      <c r="G22" s="114">
        <f t="shared" si="7"/>
        <v>852</v>
      </c>
      <c r="H22" s="114">
        <f t="shared" si="7"/>
        <v>802</v>
      </c>
      <c r="I22" s="114">
        <f t="shared" si="7"/>
        <v>805.9</v>
      </c>
      <c r="J22" s="114">
        <f t="shared" si="7"/>
        <v>849.23333333333335</v>
      </c>
      <c r="K22" s="115">
        <f>J22-I22</f>
        <v>43.333333333333371</v>
      </c>
      <c r="R22" s="89">
        <f>SUM(R9:R19)</f>
        <v>1440</v>
      </c>
      <c r="S22" s="89">
        <f>SUM(S9:S19)</f>
        <v>1399</v>
      </c>
      <c r="T22" s="89">
        <f>SUM(T9:T19)</f>
        <v>1459</v>
      </c>
      <c r="U22" s="89">
        <f>SUM(U9:U19)</f>
        <v>1000</v>
      </c>
      <c r="V22" s="89">
        <f>SUM(V9:V19)</f>
        <v>1229</v>
      </c>
    </row>
    <row r="23" spans="2:22" ht="18.75" x14ac:dyDescent="0.3">
      <c r="B23" s="98" t="s">
        <v>149</v>
      </c>
      <c r="C23" s="116"/>
      <c r="D23" s="116"/>
      <c r="E23" s="116"/>
      <c r="F23" s="116"/>
      <c r="G23" s="116"/>
      <c r="J23" s="115">
        <f>I22+J52-I52</f>
        <v>844.9</v>
      </c>
      <c r="L23" s="89">
        <f>F191</f>
        <v>43</v>
      </c>
      <c r="M23" s="89">
        <f>F196+F200</f>
        <v>114</v>
      </c>
      <c r="N23" s="117">
        <f>SUM(L23:M23)</f>
        <v>157</v>
      </c>
    </row>
    <row r="24" spans="2:22" x14ac:dyDescent="0.25">
      <c r="B24" s="109" t="s">
        <v>150</v>
      </c>
      <c r="C24" s="104">
        <f t="shared" ref="C24:J24" si="8">C11+C13+C14</f>
        <v>13</v>
      </c>
      <c r="D24" s="104">
        <f t="shared" si="8"/>
        <v>156.9</v>
      </c>
      <c r="E24" s="104">
        <f t="shared" si="8"/>
        <v>213.4</v>
      </c>
      <c r="F24" s="104">
        <f t="shared" si="8"/>
        <v>228</v>
      </c>
      <c r="G24" s="104">
        <f t="shared" si="8"/>
        <v>139</v>
      </c>
      <c r="H24" s="104">
        <f t="shared" si="8"/>
        <v>141.60499999999999</v>
      </c>
      <c r="I24" s="104">
        <f t="shared" si="8"/>
        <v>248.7</v>
      </c>
      <c r="J24" s="104">
        <f t="shared" si="8"/>
        <v>270.36666666666667</v>
      </c>
      <c r="M24" s="89">
        <f>M23/F201</f>
        <v>0.375</v>
      </c>
      <c r="R24" s="89">
        <f>R11+R13+R14</f>
        <v>7</v>
      </c>
      <c r="S24" s="89">
        <f>S11+S13+S14</f>
        <v>17</v>
      </c>
      <c r="T24" s="89">
        <f>T11+T13+T14</f>
        <v>13</v>
      </c>
      <c r="U24" s="89">
        <f>U11+U13+U14</f>
        <v>132</v>
      </c>
      <c r="V24" s="89">
        <f>V11+V13+V14</f>
        <v>94</v>
      </c>
    </row>
    <row r="25" spans="2:22" x14ac:dyDescent="0.25">
      <c r="B25" s="118" t="s">
        <v>151</v>
      </c>
      <c r="C25" s="101">
        <f t="shared" ref="C25:J25" si="9">SUM(C9:C10)</f>
        <v>145</v>
      </c>
      <c r="D25" s="101">
        <f t="shared" si="9"/>
        <v>209.9</v>
      </c>
      <c r="E25" s="101">
        <f t="shared" si="9"/>
        <v>228.9</v>
      </c>
      <c r="F25" s="101">
        <f t="shared" si="9"/>
        <v>198</v>
      </c>
      <c r="G25" s="101">
        <f t="shared" si="9"/>
        <v>239</v>
      </c>
      <c r="H25" s="101">
        <f t="shared" si="9"/>
        <v>279.2946</v>
      </c>
      <c r="I25" s="101">
        <f t="shared" si="9"/>
        <v>264.2</v>
      </c>
      <c r="J25" s="101">
        <f t="shared" si="9"/>
        <v>285.86666666666667</v>
      </c>
      <c r="R25" s="89">
        <f>SUM(R9:R10)</f>
        <v>137</v>
      </c>
      <c r="S25" s="89">
        <f>SUM(S9:S10)</f>
        <v>162</v>
      </c>
      <c r="T25" s="89">
        <f>SUM(T9:T10)</f>
        <v>145</v>
      </c>
      <c r="U25" s="89">
        <f>SUM(U9:U10)</f>
        <v>198</v>
      </c>
      <c r="V25" s="89">
        <f>SUM(V9:V10)</f>
        <v>217</v>
      </c>
    </row>
    <row r="26" spans="2:22" x14ac:dyDescent="0.25">
      <c r="B26" s="119" t="s">
        <v>152</v>
      </c>
      <c r="C26" s="107">
        <f t="shared" ref="C26:J26" si="10">C12</f>
        <v>237</v>
      </c>
      <c r="D26" s="107">
        <f t="shared" si="10"/>
        <v>244</v>
      </c>
      <c r="E26" s="107">
        <f t="shared" si="10"/>
        <v>293</v>
      </c>
      <c r="F26" s="107">
        <f t="shared" si="10"/>
        <v>284</v>
      </c>
      <c r="G26" s="107">
        <f t="shared" si="10"/>
        <v>282</v>
      </c>
      <c r="H26" s="107">
        <f t="shared" si="10"/>
        <v>242.10040000000001</v>
      </c>
      <c r="I26" s="107">
        <f t="shared" si="10"/>
        <v>293</v>
      </c>
      <c r="J26" s="107">
        <f t="shared" si="10"/>
        <v>293</v>
      </c>
      <c r="R26" s="89">
        <f>R12</f>
        <v>159</v>
      </c>
      <c r="S26" s="89">
        <f>S12</f>
        <v>245</v>
      </c>
      <c r="T26" s="89">
        <f>T12</f>
        <v>237</v>
      </c>
      <c r="U26" s="89">
        <f>U12</f>
        <v>259</v>
      </c>
      <c r="V26" s="89">
        <f>V12</f>
        <v>319</v>
      </c>
    </row>
    <row r="27" spans="2:22" x14ac:dyDescent="0.25">
      <c r="B27" s="113" t="s">
        <v>153</v>
      </c>
      <c r="C27" s="111">
        <f t="shared" ref="C27:J27" si="11">C15</f>
        <v>0</v>
      </c>
      <c r="D27" s="111">
        <f t="shared" si="11"/>
        <v>10.6</v>
      </c>
      <c r="E27" s="111">
        <f t="shared" si="11"/>
        <v>70.599999999999994</v>
      </c>
      <c r="F27" s="111">
        <f t="shared" si="11"/>
        <v>55</v>
      </c>
      <c r="G27" s="111">
        <f t="shared" si="11"/>
        <v>0</v>
      </c>
      <c r="H27" s="111">
        <f t="shared" si="11"/>
        <v>0</v>
      </c>
      <c r="I27" s="111">
        <f t="shared" si="11"/>
        <v>0</v>
      </c>
      <c r="J27" s="111">
        <f t="shared" si="11"/>
        <v>0</v>
      </c>
      <c r="R27" s="89">
        <f>R15</f>
        <v>0</v>
      </c>
      <c r="S27" s="89">
        <f>S15</f>
        <v>0</v>
      </c>
      <c r="T27" s="89">
        <f>T15</f>
        <v>0</v>
      </c>
      <c r="U27" s="89">
        <f>U15</f>
        <v>0</v>
      </c>
      <c r="V27" s="89">
        <f>V15</f>
        <v>0</v>
      </c>
    </row>
    <row r="28" spans="2:22" x14ac:dyDescent="0.25">
      <c r="B28" s="113" t="s">
        <v>154</v>
      </c>
      <c r="C28" s="111">
        <f t="shared" ref="C28:J28" si="12">C16+C17+C18</f>
        <v>1036</v>
      </c>
      <c r="D28" s="111">
        <f t="shared" si="12"/>
        <v>0</v>
      </c>
      <c r="E28" s="111">
        <f t="shared" si="12"/>
        <v>0</v>
      </c>
      <c r="F28" s="111">
        <f t="shared" si="12"/>
        <v>73</v>
      </c>
      <c r="G28" s="111">
        <f t="shared" si="12"/>
        <v>218</v>
      </c>
      <c r="H28" s="111">
        <f t="shared" si="12"/>
        <v>125</v>
      </c>
      <c r="I28" s="111">
        <f t="shared" si="12"/>
        <v>0</v>
      </c>
      <c r="J28" s="111">
        <f t="shared" si="12"/>
        <v>0</v>
      </c>
      <c r="R28" s="89">
        <f>R16+R17+R18</f>
        <v>1121</v>
      </c>
      <c r="S28" s="89">
        <f>S16+S17+S18</f>
        <v>948</v>
      </c>
      <c r="T28" s="89">
        <f>T16+T17+T18</f>
        <v>1036</v>
      </c>
      <c r="U28" s="89">
        <f>U16+U17+U18</f>
        <v>384</v>
      </c>
      <c r="V28" s="89">
        <f>V16+V17+V18</f>
        <v>571</v>
      </c>
    </row>
    <row r="29" spans="2:22" x14ac:dyDescent="0.25">
      <c r="B29" s="110"/>
      <c r="C29" s="95">
        <v>2010</v>
      </c>
      <c r="D29" s="95">
        <v>2050</v>
      </c>
      <c r="E29" s="95">
        <v>2050</v>
      </c>
      <c r="F29" s="95">
        <v>2050</v>
      </c>
      <c r="G29" s="95">
        <v>2050</v>
      </c>
      <c r="H29" s="95">
        <v>2050</v>
      </c>
      <c r="I29" s="95">
        <v>2050</v>
      </c>
      <c r="J29" s="95">
        <v>2050</v>
      </c>
    </row>
    <row r="30" spans="2:22" x14ac:dyDescent="0.25">
      <c r="B30" s="120" t="s">
        <v>7</v>
      </c>
      <c r="C30" s="96"/>
      <c r="D30" s="96"/>
      <c r="E30" s="96"/>
      <c r="F30" s="96"/>
      <c r="G30" s="96"/>
      <c r="H30" s="96"/>
      <c r="I30" s="96"/>
      <c r="J30" s="96"/>
    </row>
    <row r="31" spans="2:22" x14ac:dyDescent="0.25">
      <c r="B31" s="121" t="str">
        <f>B9</f>
        <v>Wasserkraft</v>
      </c>
      <c r="D31" s="96"/>
      <c r="E31" s="89">
        <v>55</v>
      </c>
      <c r="F31" s="96"/>
      <c r="G31" s="96"/>
      <c r="H31" s="96"/>
      <c r="I31" s="89">
        <f>E31</f>
        <v>55</v>
      </c>
      <c r="J31" s="96">
        <f>I31</f>
        <v>55</v>
      </c>
    </row>
    <row r="32" spans="2:22" x14ac:dyDescent="0.25">
      <c r="B32" s="121" t="str">
        <f>B10</f>
        <v>Windkraft</v>
      </c>
      <c r="D32" s="96"/>
      <c r="E32" s="90">
        <v>16.100000000000001</v>
      </c>
      <c r="F32" s="96"/>
      <c r="G32" s="96"/>
      <c r="H32" s="96"/>
      <c r="I32" s="90">
        <f>E32+E34*L3</f>
        <v>22.85</v>
      </c>
      <c r="J32" s="96">
        <f t="shared" ref="J32:J33" si="13">I32</f>
        <v>22.85</v>
      </c>
    </row>
    <row r="33" spans="2:10" x14ac:dyDescent="0.25">
      <c r="B33" s="121" t="str">
        <f>B11</f>
        <v>Photovoltaik</v>
      </c>
      <c r="D33" s="96"/>
      <c r="E33" s="90">
        <v>21.1</v>
      </c>
      <c r="F33" s="96"/>
      <c r="G33" s="96"/>
      <c r="H33" s="96"/>
      <c r="I33" s="90">
        <f>E33+E34*(1-L3)</f>
        <v>27.85</v>
      </c>
      <c r="J33" s="96">
        <f t="shared" si="13"/>
        <v>27.85</v>
      </c>
    </row>
    <row r="34" spans="2:10" x14ac:dyDescent="0.25">
      <c r="B34" s="121" t="str">
        <f>B15</f>
        <v>Tiefe Geo-thermie</v>
      </c>
      <c r="D34" s="96"/>
      <c r="E34" s="96">
        <v>13.5</v>
      </c>
      <c r="F34" s="96"/>
      <c r="G34" s="96"/>
      <c r="H34" s="96"/>
      <c r="I34" s="96">
        <v>0</v>
      </c>
      <c r="J34" s="96"/>
    </row>
    <row r="35" spans="2:10" x14ac:dyDescent="0.25">
      <c r="B35" s="120" t="s">
        <v>155</v>
      </c>
      <c r="C35" s="96"/>
      <c r="D35" s="96"/>
      <c r="E35" s="96">
        <v>2.9</v>
      </c>
      <c r="F35" s="96"/>
      <c r="G35" s="96"/>
      <c r="H35" s="96"/>
      <c r="I35" s="96">
        <f>SUM(I31:I34)</f>
        <v>105.69999999999999</v>
      </c>
      <c r="J35" s="96">
        <f>SUM(J31:J34)</f>
        <v>105.69999999999999</v>
      </c>
    </row>
    <row r="36" spans="2:10" ht="75.75" x14ac:dyDescent="0.3">
      <c r="B36" s="122" t="s">
        <v>156</v>
      </c>
      <c r="C36" s="123" t="s">
        <v>157</v>
      </c>
      <c r="D36" s="124" t="s">
        <v>158</v>
      </c>
      <c r="E36" s="123" t="s">
        <v>91</v>
      </c>
      <c r="F36" s="96"/>
      <c r="G36" s="96"/>
      <c r="H36" s="96"/>
      <c r="I36" s="123" t="s">
        <v>91</v>
      </c>
      <c r="J36" s="125" t="str">
        <f>[3]TabellenEE!J5</f>
        <v>2050      Streicher 0,8% Var1 Mobi LW UBA</v>
      </c>
    </row>
    <row r="37" spans="2:10" x14ac:dyDescent="0.25">
      <c r="B37" s="59"/>
      <c r="C37" s="126" t="s">
        <v>92</v>
      </c>
      <c r="D37" s="126" t="s">
        <v>92</v>
      </c>
      <c r="E37" s="126" t="s">
        <v>92</v>
      </c>
      <c r="F37" s="96"/>
      <c r="G37" s="96"/>
      <c r="H37" s="96"/>
      <c r="I37" s="126" t="s">
        <v>92</v>
      </c>
      <c r="J37" s="126" t="s">
        <v>92</v>
      </c>
    </row>
    <row r="38" spans="2:10" ht="37.5" x14ac:dyDescent="0.3">
      <c r="B38" s="127" t="s">
        <v>73</v>
      </c>
      <c r="C38" s="126"/>
      <c r="E38" s="126"/>
      <c r="F38" s="96"/>
      <c r="G38" s="96"/>
      <c r="H38" s="96"/>
      <c r="I38" s="126"/>
      <c r="J38" s="126"/>
    </row>
    <row r="39" spans="2:10" x14ac:dyDescent="0.25">
      <c r="B39" s="128" t="s">
        <v>74</v>
      </c>
      <c r="C39" s="129">
        <v>86</v>
      </c>
      <c r="D39" s="129">
        <v>0</v>
      </c>
      <c r="E39" s="129">
        <v>0</v>
      </c>
      <c r="F39" s="96"/>
      <c r="G39" s="96"/>
      <c r="H39" s="96"/>
      <c r="I39" s="129">
        <v>0</v>
      </c>
      <c r="J39" s="130">
        <f>I39</f>
        <v>0</v>
      </c>
    </row>
    <row r="40" spans="2:10" x14ac:dyDescent="0.25">
      <c r="B40" s="128" t="s">
        <v>75</v>
      </c>
      <c r="C40" s="129">
        <v>82</v>
      </c>
      <c r="D40" s="129">
        <v>0</v>
      </c>
      <c r="E40" s="129">
        <v>0</v>
      </c>
      <c r="F40" s="96"/>
      <c r="G40" s="96"/>
      <c r="H40" s="96"/>
      <c r="I40" s="129">
        <v>0</v>
      </c>
      <c r="J40" s="130">
        <f>I40</f>
        <v>0</v>
      </c>
    </row>
    <row r="41" spans="2:10" x14ac:dyDescent="0.25">
      <c r="B41" s="128" t="s">
        <v>76</v>
      </c>
      <c r="C41" s="129">
        <v>27</v>
      </c>
      <c r="D41" s="129">
        <v>0</v>
      </c>
      <c r="E41" s="129">
        <v>0</v>
      </c>
      <c r="F41" s="96"/>
      <c r="G41" s="96"/>
      <c r="H41" s="96"/>
      <c r="I41" s="129">
        <v>0</v>
      </c>
      <c r="J41" s="130">
        <f>I41</f>
        <v>0</v>
      </c>
    </row>
    <row r="42" spans="2:10" x14ac:dyDescent="0.25">
      <c r="B42" s="128" t="s">
        <v>77</v>
      </c>
      <c r="C42" s="129">
        <v>69</v>
      </c>
      <c r="D42" s="129">
        <v>57</v>
      </c>
      <c r="E42" s="129">
        <v>66</v>
      </c>
      <c r="F42" s="96"/>
      <c r="G42" s="96"/>
      <c r="H42" s="96"/>
      <c r="I42" s="129">
        <v>66</v>
      </c>
      <c r="J42" s="130">
        <f>I42</f>
        <v>66</v>
      </c>
    </row>
    <row r="43" spans="2:10" x14ac:dyDescent="0.25">
      <c r="B43" s="128" t="s">
        <v>78</v>
      </c>
      <c r="C43" s="129">
        <v>0.1</v>
      </c>
      <c r="D43" s="129">
        <v>16</v>
      </c>
      <c r="E43" s="129">
        <v>23</v>
      </c>
      <c r="F43" s="96"/>
      <c r="G43" s="96"/>
      <c r="H43" s="96"/>
      <c r="I43" s="129">
        <v>23</v>
      </c>
      <c r="J43" s="130">
        <f>I43</f>
        <v>23</v>
      </c>
    </row>
    <row r="44" spans="2:10" x14ac:dyDescent="0.25">
      <c r="B44" s="60" t="s">
        <v>79</v>
      </c>
      <c r="C44" s="129">
        <f>SUM(C41:C43)</f>
        <v>96.1</v>
      </c>
      <c r="D44" s="129">
        <f>SUM(D41:D43)</f>
        <v>73</v>
      </c>
      <c r="E44" s="129">
        <f>SUM(E41:E43)</f>
        <v>89</v>
      </c>
      <c r="F44" s="96"/>
      <c r="G44" s="96"/>
      <c r="H44" s="96"/>
      <c r="I44" s="129">
        <f>SUM(I41:I43)</f>
        <v>89</v>
      </c>
      <c r="J44" s="129">
        <f>SUM(J41:J43)</f>
        <v>89</v>
      </c>
    </row>
    <row r="45" spans="2:10" x14ac:dyDescent="0.25">
      <c r="B45" s="128" t="s">
        <v>80</v>
      </c>
      <c r="C45" s="129">
        <v>0.2</v>
      </c>
      <c r="D45" s="129">
        <v>49</v>
      </c>
      <c r="E45" s="129">
        <v>68</v>
      </c>
      <c r="F45" s="96"/>
      <c r="G45" s="96"/>
      <c r="H45" s="96"/>
      <c r="I45" s="129">
        <v>68</v>
      </c>
      <c r="J45" s="130">
        <f>I45</f>
        <v>68</v>
      </c>
    </row>
    <row r="46" spans="2:10" x14ac:dyDescent="0.25">
      <c r="B46" s="128" t="s">
        <v>3</v>
      </c>
      <c r="C46" s="129">
        <v>0.6</v>
      </c>
      <c r="D46" s="129">
        <v>39</v>
      </c>
      <c r="E46" s="129">
        <v>69</v>
      </c>
      <c r="F46" s="96"/>
      <c r="G46" s="96"/>
      <c r="H46" s="96"/>
      <c r="I46" s="129">
        <v>69</v>
      </c>
      <c r="J46" s="130">
        <f>I46</f>
        <v>69</v>
      </c>
    </row>
    <row r="47" spans="2:10" x14ac:dyDescent="0.25">
      <c r="B47" s="128" t="s">
        <v>81</v>
      </c>
      <c r="C47" s="129">
        <v>157</v>
      </c>
      <c r="D47" s="129">
        <f>SUM(D39:D46)</f>
        <v>234</v>
      </c>
      <c r="E47" s="129">
        <v>13</v>
      </c>
      <c r="F47" s="96"/>
      <c r="G47" s="96"/>
      <c r="H47" s="96"/>
      <c r="I47" s="129">
        <v>13</v>
      </c>
      <c r="J47" s="130">
        <f>I47</f>
        <v>13</v>
      </c>
    </row>
    <row r="48" spans="2:10" x14ac:dyDescent="0.25">
      <c r="B48" s="61" t="s">
        <v>13</v>
      </c>
      <c r="C48" s="131">
        <f>SUM(C44:C47)+C39+C40</f>
        <v>421.9</v>
      </c>
      <c r="D48" s="131">
        <f>SUM(D44:D47)+D39+D40</f>
        <v>395</v>
      </c>
      <c r="E48" s="131">
        <f>SUM(E44:E47)</f>
        <v>239</v>
      </c>
      <c r="F48" s="96"/>
      <c r="G48" s="96"/>
      <c r="H48" s="96"/>
      <c r="I48" s="131">
        <f>SUM(I44:I47)</f>
        <v>239</v>
      </c>
      <c r="J48" s="131">
        <f>SUM(J44:J47)</f>
        <v>239</v>
      </c>
    </row>
    <row r="49" spans="2:11" ht="37.5" x14ac:dyDescent="0.3">
      <c r="B49" s="127" t="s">
        <v>82</v>
      </c>
      <c r="C49" s="129"/>
      <c r="E49" s="132"/>
      <c r="F49" s="96"/>
      <c r="G49" s="96"/>
      <c r="H49" s="96"/>
      <c r="I49" s="132"/>
      <c r="J49" s="132"/>
    </row>
    <row r="50" spans="2:11" x14ac:dyDescent="0.25">
      <c r="B50" s="128" t="s">
        <v>14</v>
      </c>
      <c r="C50" s="129">
        <v>10</v>
      </c>
      <c r="D50" s="129">
        <v>17</v>
      </c>
      <c r="E50" s="129">
        <v>15</v>
      </c>
      <c r="F50" s="96"/>
      <c r="G50" s="96"/>
      <c r="H50" s="96"/>
      <c r="I50" s="129">
        <v>15</v>
      </c>
      <c r="J50" s="130">
        <f>I50</f>
        <v>15</v>
      </c>
    </row>
    <row r="51" spans="2:11" x14ac:dyDescent="0.25">
      <c r="B51" s="128" t="s">
        <v>30</v>
      </c>
      <c r="C51" s="129">
        <v>288</v>
      </c>
      <c r="D51" s="129">
        <v>38</v>
      </c>
      <c r="E51" s="129">
        <v>40</v>
      </c>
      <c r="F51" s="96"/>
      <c r="G51" s="96"/>
      <c r="H51" s="96"/>
      <c r="I51" s="129">
        <v>40</v>
      </c>
      <c r="J51" s="130">
        <f>I51</f>
        <v>40</v>
      </c>
    </row>
    <row r="52" spans="2:11" x14ac:dyDescent="0.25">
      <c r="B52" s="128" t="s">
        <v>159</v>
      </c>
      <c r="C52" s="129">
        <v>7</v>
      </c>
      <c r="D52" s="129">
        <v>30</v>
      </c>
      <c r="E52" s="129">
        <v>43</v>
      </c>
      <c r="F52" s="96"/>
      <c r="G52" s="96"/>
      <c r="H52" s="96"/>
      <c r="I52" s="129">
        <v>43</v>
      </c>
      <c r="J52" s="133">
        <f>([3]TabellenEE!J74-[3]TabellenEE!I74)+I52</f>
        <v>82</v>
      </c>
      <c r="K52" s="115">
        <f>J52-I52</f>
        <v>39</v>
      </c>
    </row>
    <row r="53" spans="2:11" x14ac:dyDescent="0.25">
      <c r="B53" s="61" t="s">
        <v>13</v>
      </c>
      <c r="C53" s="131">
        <f>SUM(C50:C52)</f>
        <v>305</v>
      </c>
      <c r="D53" s="131">
        <f>SUM(D50:D52)</f>
        <v>85</v>
      </c>
      <c r="E53" s="131">
        <f>SUM(E50:E52)</f>
        <v>98</v>
      </c>
      <c r="F53" s="96"/>
      <c r="G53" s="96"/>
      <c r="H53" s="96"/>
      <c r="I53" s="131">
        <f>SUM(I50:I52)</f>
        <v>98</v>
      </c>
      <c r="J53" s="131">
        <f>SUM(J50:J52)</f>
        <v>137</v>
      </c>
    </row>
    <row r="54" spans="2:11" ht="37.5" x14ac:dyDescent="0.3">
      <c r="B54" s="127" t="s">
        <v>84</v>
      </c>
      <c r="C54" s="134"/>
      <c r="D54" s="135"/>
      <c r="E54" s="135"/>
      <c r="F54" s="96"/>
      <c r="G54" s="96"/>
      <c r="H54" s="96"/>
      <c r="I54" s="135"/>
      <c r="J54" s="135"/>
    </row>
    <row r="55" spans="2:11" x14ac:dyDescent="0.25">
      <c r="B55" s="128" t="s">
        <v>30</v>
      </c>
      <c r="C55" s="129">
        <v>18</v>
      </c>
      <c r="D55" s="129">
        <v>0</v>
      </c>
      <c r="E55" s="129">
        <v>0</v>
      </c>
      <c r="F55" s="96"/>
      <c r="G55" s="96"/>
      <c r="H55" s="96"/>
      <c r="I55" s="129">
        <v>0</v>
      </c>
      <c r="J55" s="130">
        <f t="shared" ref="J55:J61" si="14">I55</f>
        <v>0</v>
      </c>
    </row>
    <row r="56" spans="2:11" x14ac:dyDescent="0.25">
      <c r="B56" s="128" t="s">
        <v>32</v>
      </c>
      <c r="C56" s="129">
        <v>65</v>
      </c>
      <c r="D56" s="129">
        <v>57</v>
      </c>
      <c r="E56" s="129">
        <v>86</v>
      </c>
      <c r="F56" s="96"/>
      <c r="G56" s="96"/>
      <c r="H56" s="96"/>
      <c r="I56" s="129">
        <v>86</v>
      </c>
      <c r="J56" s="130">
        <f t="shared" si="14"/>
        <v>86</v>
      </c>
    </row>
    <row r="57" spans="2:11" x14ac:dyDescent="0.25">
      <c r="B57" s="128" t="s">
        <v>85</v>
      </c>
      <c r="C57" s="129">
        <v>0</v>
      </c>
      <c r="D57" s="129">
        <v>25</v>
      </c>
      <c r="E57" s="129">
        <v>25</v>
      </c>
      <c r="F57" s="96"/>
      <c r="G57" s="96"/>
      <c r="H57" s="96"/>
      <c r="I57" s="129">
        <v>25</v>
      </c>
      <c r="J57" s="130">
        <f t="shared" si="14"/>
        <v>25</v>
      </c>
    </row>
    <row r="58" spans="2:11" x14ac:dyDescent="0.25">
      <c r="B58" s="128" t="s">
        <v>86</v>
      </c>
      <c r="C58" s="129">
        <v>0</v>
      </c>
      <c r="D58" s="129">
        <v>22</v>
      </c>
      <c r="E58" s="129">
        <v>46</v>
      </c>
      <c r="F58" s="96"/>
      <c r="G58" s="96"/>
      <c r="H58" s="96"/>
      <c r="I58" s="129">
        <v>46</v>
      </c>
      <c r="J58" s="130">
        <f t="shared" si="14"/>
        <v>46</v>
      </c>
    </row>
    <row r="59" spans="2:11" x14ac:dyDescent="0.25">
      <c r="B59" s="128" t="s">
        <v>87</v>
      </c>
      <c r="C59" s="129">
        <v>7</v>
      </c>
      <c r="D59" s="129">
        <v>38</v>
      </c>
      <c r="E59" s="129">
        <v>58</v>
      </c>
      <c r="F59" s="96"/>
      <c r="G59" s="96"/>
      <c r="H59" s="96"/>
      <c r="I59" s="129">
        <v>58</v>
      </c>
      <c r="J59" s="130">
        <f t="shared" si="14"/>
        <v>58</v>
      </c>
    </row>
    <row r="60" spans="2:11" x14ac:dyDescent="0.25">
      <c r="B60" s="128" t="s">
        <v>88</v>
      </c>
      <c r="C60" s="129">
        <v>123</v>
      </c>
      <c r="D60" s="129">
        <v>0</v>
      </c>
      <c r="E60" s="129">
        <v>0</v>
      </c>
      <c r="F60" s="96"/>
      <c r="G60" s="96"/>
      <c r="H60" s="96"/>
      <c r="I60" s="129">
        <v>0</v>
      </c>
      <c r="J60" s="130">
        <f t="shared" si="14"/>
        <v>0</v>
      </c>
    </row>
    <row r="61" spans="2:11" x14ac:dyDescent="0.25">
      <c r="B61" s="128" t="s">
        <v>90</v>
      </c>
      <c r="C61" s="129">
        <v>99</v>
      </c>
      <c r="D61" s="129">
        <v>59</v>
      </c>
      <c r="E61" s="129">
        <v>89</v>
      </c>
      <c r="F61" s="96"/>
      <c r="G61" s="96"/>
      <c r="H61" s="96"/>
      <c r="I61" s="129">
        <v>89</v>
      </c>
      <c r="J61" s="130">
        <f t="shared" si="14"/>
        <v>89</v>
      </c>
    </row>
    <row r="62" spans="2:11" x14ac:dyDescent="0.25">
      <c r="B62" s="60" t="s">
        <v>89</v>
      </c>
      <c r="C62" s="129">
        <f>SUM(C56:C60)</f>
        <v>195</v>
      </c>
      <c r="D62" s="129">
        <f>SUM(D56:D60)</f>
        <v>142</v>
      </c>
      <c r="E62" s="129">
        <f>SUM(E56:E60)</f>
        <v>215</v>
      </c>
      <c r="F62" s="96"/>
      <c r="G62" s="96"/>
      <c r="H62" s="96"/>
      <c r="I62" s="129">
        <f>SUM(I56:I60)</f>
        <v>215</v>
      </c>
      <c r="J62" s="129">
        <f>SUM(J56:J60)</f>
        <v>215</v>
      </c>
    </row>
    <row r="63" spans="2:11" x14ac:dyDescent="0.25">
      <c r="B63" s="60" t="s">
        <v>90</v>
      </c>
      <c r="C63" s="129">
        <f>C61</f>
        <v>99</v>
      </c>
      <c r="D63" s="129">
        <f>D61</f>
        <v>59</v>
      </c>
      <c r="E63" s="129">
        <f>E61</f>
        <v>89</v>
      </c>
      <c r="F63" s="96"/>
      <c r="G63" s="96"/>
      <c r="H63" s="96"/>
      <c r="I63" s="129">
        <f>I61</f>
        <v>89</v>
      </c>
      <c r="J63" s="129">
        <f>J61</f>
        <v>89</v>
      </c>
    </row>
    <row r="64" spans="2:11" x14ac:dyDescent="0.25">
      <c r="B64" s="61" t="s">
        <v>13</v>
      </c>
      <c r="C64" s="136">
        <f>SUM(C55:C61)</f>
        <v>312</v>
      </c>
      <c r="D64" s="136">
        <f>SUM(D55:D61)</f>
        <v>201</v>
      </c>
      <c r="E64" s="136">
        <f>SUM(E55:E61)</f>
        <v>304</v>
      </c>
      <c r="F64" s="96"/>
      <c r="G64" s="96"/>
      <c r="H64" s="96"/>
      <c r="I64" s="136">
        <f>SUM(I55:I61)</f>
        <v>304</v>
      </c>
      <c r="J64" s="136">
        <f>SUM(J55:J61)</f>
        <v>304</v>
      </c>
    </row>
    <row r="65" spans="2:22" ht="37.5" x14ac:dyDescent="0.3">
      <c r="B65" s="127" t="s">
        <v>160</v>
      </c>
      <c r="C65" s="137"/>
      <c r="D65" s="136"/>
      <c r="E65" s="136"/>
      <c r="F65" s="96"/>
      <c r="G65" s="96"/>
      <c r="H65" s="96"/>
      <c r="I65" s="136"/>
      <c r="J65" s="136"/>
    </row>
    <row r="66" spans="2:22" x14ac:dyDescent="0.25">
      <c r="B66" s="138" t="s">
        <v>13</v>
      </c>
      <c r="C66" s="139">
        <f>C64+C53+C48</f>
        <v>1038.9000000000001</v>
      </c>
      <c r="D66" s="139">
        <f>D64+D53+D48</f>
        <v>681</v>
      </c>
      <c r="E66" s="139">
        <f>E64+E53+E48</f>
        <v>641</v>
      </c>
      <c r="F66" s="96"/>
      <c r="G66" s="96"/>
      <c r="H66" s="96"/>
      <c r="I66" s="139">
        <f>I64+I53+I48</f>
        <v>641</v>
      </c>
      <c r="J66" s="139">
        <f>J64+J53+J48</f>
        <v>680</v>
      </c>
    </row>
    <row r="67" spans="2:22" x14ac:dyDescent="0.25">
      <c r="B67" s="140" t="s">
        <v>161</v>
      </c>
      <c r="C67">
        <f t="shared" ref="C67:D67" si="15">C63+C52+C44+C57</f>
        <v>202.1</v>
      </c>
      <c r="D67">
        <f t="shared" si="15"/>
        <v>187</v>
      </c>
      <c r="E67">
        <f>E63+E52+E44+E57</f>
        <v>246</v>
      </c>
      <c r="F67" s="96"/>
      <c r="G67" s="96"/>
      <c r="H67" s="96"/>
      <c r="I67" s="96">
        <f>I63+I52+I44+I57</f>
        <v>246</v>
      </c>
      <c r="J67" s="141">
        <f>J63+J52+J44+J57</f>
        <v>285</v>
      </c>
      <c r="K67" s="115">
        <f>J67-I67</f>
        <v>39</v>
      </c>
    </row>
    <row r="68" spans="2:22" x14ac:dyDescent="0.25">
      <c r="B68" s="121"/>
      <c r="C68" s="96"/>
      <c r="D68" s="96"/>
      <c r="E68" s="96"/>
      <c r="F68" s="96"/>
      <c r="G68" s="96"/>
      <c r="H68" s="96"/>
      <c r="I68" s="96"/>
      <c r="J68" s="96"/>
    </row>
    <row r="69" spans="2:22" ht="46.5" x14ac:dyDescent="0.35">
      <c r="B69" s="94" t="s">
        <v>126</v>
      </c>
      <c r="C69" s="97" t="s">
        <v>127</v>
      </c>
      <c r="D69" s="97" t="s">
        <v>128</v>
      </c>
      <c r="E69" s="97" t="s">
        <v>129</v>
      </c>
      <c r="F69" s="97" t="s">
        <v>130</v>
      </c>
      <c r="G69" s="97" t="s">
        <v>131</v>
      </c>
      <c r="H69" s="89" t="str">
        <f>H7</f>
        <v>UBA transition 2017</v>
      </c>
    </row>
    <row r="70" spans="2:22" ht="18.75" x14ac:dyDescent="0.3">
      <c r="B70" s="98" t="s">
        <v>162</v>
      </c>
      <c r="C70" s="116"/>
      <c r="D70" s="116"/>
      <c r="E70" s="116"/>
      <c r="F70" s="116"/>
      <c r="G70" s="116"/>
    </row>
    <row r="71" spans="2:22" x14ac:dyDescent="0.25">
      <c r="B71" s="142" t="s">
        <v>163</v>
      </c>
      <c r="C71" s="143">
        <f>E280</f>
        <v>287</v>
      </c>
      <c r="D71" s="143"/>
      <c r="E71" s="143"/>
      <c r="F71" s="143">
        <f>N280</f>
        <v>138</v>
      </c>
      <c r="G71" s="143">
        <f>G280</f>
        <v>140</v>
      </c>
      <c r="R71" s="89">
        <f>K280</f>
        <v>281</v>
      </c>
      <c r="S71" s="89">
        <f>L280</f>
        <v>278</v>
      </c>
      <c r="T71" s="89">
        <f>E280</f>
        <v>287</v>
      </c>
      <c r="U71" s="89">
        <f>M280</f>
        <v>196</v>
      </c>
      <c r="V71" s="89">
        <f>F280</f>
        <v>202</v>
      </c>
    </row>
    <row r="72" spans="2:22" x14ac:dyDescent="0.25">
      <c r="B72" s="142" t="s">
        <v>164</v>
      </c>
      <c r="C72" s="143">
        <f>E281</f>
        <v>131</v>
      </c>
      <c r="D72" s="143"/>
      <c r="E72" s="143"/>
      <c r="F72" s="143">
        <f>N281</f>
        <v>70</v>
      </c>
      <c r="G72" s="143">
        <f>G281</f>
        <v>66</v>
      </c>
      <c r="R72" s="89">
        <f>K281</f>
        <v>125</v>
      </c>
      <c r="S72" s="89">
        <f>L281</f>
        <v>111</v>
      </c>
      <c r="T72" s="89">
        <f>E281</f>
        <v>131</v>
      </c>
      <c r="U72" s="89">
        <f>M281</f>
        <v>95</v>
      </c>
      <c r="V72" s="89">
        <f>F281</f>
        <v>102</v>
      </c>
    </row>
    <row r="73" spans="2:22" x14ac:dyDescent="0.25">
      <c r="B73" s="119" t="s">
        <v>165</v>
      </c>
      <c r="C73" s="107">
        <f>C71+C72</f>
        <v>418</v>
      </c>
      <c r="D73" s="107">
        <f>E187</f>
        <v>210</v>
      </c>
      <c r="E73" s="107">
        <f>F187</f>
        <v>239</v>
      </c>
      <c r="F73" s="107">
        <f>F71+F72</f>
        <v>208</v>
      </c>
      <c r="G73" s="107">
        <f>G71+G72</f>
        <v>206</v>
      </c>
      <c r="H73" s="89">
        <f>C383</f>
        <v>241</v>
      </c>
      <c r="I73" s="115">
        <f>E73</f>
        <v>239</v>
      </c>
      <c r="J73" s="115">
        <f>I73</f>
        <v>239</v>
      </c>
      <c r="Q73" s="89">
        <f>D187</f>
        <v>421.90000000000003</v>
      </c>
      <c r="R73" s="89">
        <f>R71+R72</f>
        <v>406</v>
      </c>
      <c r="S73" s="89">
        <f>S71+S72</f>
        <v>389</v>
      </c>
      <c r="T73" s="89">
        <f>T71+T72</f>
        <v>418</v>
      </c>
      <c r="U73" s="89">
        <f>U71+U72</f>
        <v>291</v>
      </c>
      <c r="V73" s="89">
        <f>V71+V72</f>
        <v>304</v>
      </c>
    </row>
    <row r="74" spans="2:22" x14ac:dyDescent="0.25">
      <c r="B74" s="119" t="s">
        <v>34</v>
      </c>
      <c r="C74" s="107">
        <f>E278</f>
        <v>391</v>
      </c>
      <c r="D74" s="107">
        <f>E192</f>
        <v>85</v>
      </c>
      <c r="E74" s="107">
        <f>F192</f>
        <v>98</v>
      </c>
      <c r="F74" s="107">
        <f>N278</f>
        <v>99</v>
      </c>
      <c r="G74" s="107">
        <f>G278</f>
        <v>147</v>
      </c>
      <c r="H74" s="89">
        <f t="shared" ref="H74:H76" si="16">C384</f>
        <v>137</v>
      </c>
      <c r="I74" s="115">
        <f>E74</f>
        <v>98</v>
      </c>
      <c r="J74" s="144">
        <f>H74</f>
        <v>137</v>
      </c>
      <c r="K74" s="115">
        <f>J74-I74</f>
        <v>39</v>
      </c>
      <c r="Q74" s="89">
        <f>D192</f>
        <v>305</v>
      </c>
      <c r="R74" s="89">
        <f>K278</f>
        <v>379</v>
      </c>
      <c r="S74" s="89">
        <f>L278</f>
        <v>370</v>
      </c>
      <c r="T74" s="89">
        <f>E278</f>
        <v>391</v>
      </c>
      <c r="U74" s="89">
        <f>M278</f>
        <v>170</v>
      </c>
      <c r="V74" s="89">
        <f>F278</f>
        <v>276</v>
      </c>
    </row>
    <row r="75" spans="2:22" x14ac:dyDescent="0.25">
      <c r="B75" s="119" t="s">
        <v>166</v>
      </c>
      <c r="C75" s="107">
        <f>E279</f>
        <v>315</v>
      </c>
      <c r="D75" s="107">
        <f>E201</f>
        <v>201</v>
      </c>
      <c r="E75" s="107">
        <f>F201</f>
        <v>304</v>
      </c>
      <c r="F75" s="107">
        <f>N279</f>
        <v>262</v>
      </c>
      <c r="G75" s="107">
        <f>G279</f>
        <v>273</v>
      </c>
      <c r="H75" s="89">
        <f t="shared" si="16"/>
        <v>233</v>
      </c>
      <c r="I75" s="115">
        <f>E75</f>
        <v>304</v>
      </c>
      <c r="J75" s="115">
        <f>I75</f>
        <v>304</v>
      </c>
      <c r="Q75" s="115">
        <f>D201</f>
        <v>312</v>
      </c>
      <c r="R75" s="89">
        <f>K279</f>
        <v>303</v>
      </c>
      <c r="S75" s="89">
        <f>L279</f>
        <v>336</v>
      </c>
      <c r="T75" s="89">
        <f>E279</f>
        <v>315</v>
      </c>
      <c r="U75" s="89">
        <f>M279</f>
        <v>305</v>
      </c>
      <c r="V75" s="89">
        <f>F279</f>
        <v>320</v>
      </c>
    </row>
    <row r="76" spans="2:22" x14ac:dyDescent="0.25">
      <c r="B76" s="119" t="s">
        <v>167</v>
      </c>
      <c r="C76" s="107">
        <f>E282</f>
        <v>14</v>
      </c>
      <c r="D76" s="107"/>
      <c r="E76" s="107"/>
      <c r="F76" s="107">
        <f>N282</f>
        <v>22</v>
      </c>
      <c r="G76" s="107">
        <f>G282</f>
        <v>11</v>
      </c>
      <c r="H76" s="89">
        <f t="shared" si="16"/>
        <v>12</v>
      </c>
      <c r="I76" s="115">
        <f>E76</f>
        <v>0</v>
      </c>
      <c r="J76" s="115">
        <f>H76</f>
        <v>12</v>
      </c>
      <c r="K76" s="115">
        <f>J76-I76</f>
        <v>12</v>
      </c>
      <c r="R76" s="89">
        <f>K282</f>
        <v>23</v>
      </c>
      <c r="S76" s="89">
        <f>L282</f>
        <v>24</v>
      </c>
      <c r="T76" s="89">
        <f>E282</f>
        <v>14</v>
      </c>
      <c r="U76" s="89">
        <f>M282</f>
        <v>23</v>
      </c>
      <c r="V76" s="89">
        <f>F282</f>
        <v>12</v>
      </c>
    </row>
    <row r="77" spans="2:22" x14ac:dyDescent="0.25">
      <c r="B77" s="145" t="s">
        <v>9</v>
      </c>
      <c r="C77" s="146">
        <f t="shared" ref="C77:J77" si="17">SUM(C73:C76)</f>
        <v>1138</v>
      </c>
      <c r="D77" s="146">
        <f t="shared" si="17"/>
        <v>496</v>
      </c>
      <c r="E77" s="146">
        <f t="shared" si="17"/>
        <v>641</v>
      </c>
      <c r="F77" s="146">
        <f t="shared" si="17"/>
        <v>591</v>
      </c>
      <c r="G77" s="146">
        <f t="shared" si="17"/>
        <v>637</v>
      </c>
      <c r="H77" s="146">
        <f t="shared" si="17"/>
        <v>623</v>
      </c>
      <c r="I77" s="115">
        <f t="shared" si="17"/>
        <v>641</v>
      </c>
      <c r="J77" s="115">
        <f t="shared" si="17"/>
        <v>692</v>
      </c>
      <c r="K77" s="115">
        <f>J77-I77</f>
        <v>51</v>
      </c>
      <c r="Q77" s="89">
        <f t="shared" ref="Q77:V77" si="18">SUM(Q73:Q76)</f>
        <v>1038.9000000000001</v>
      </c>
      <c r="R77" s="89">
        <f t="shared" si="18"/>
        <v>1111</v>
      </c>
      <c r="S77" s="89">
        <f t="shared" si="18"/>
        <v>1119</v>
      </c>
      <c r="T77" s="89">
        <f t="shared" si="18"/>
        <v>1138</v>
      </c>
      <c r="U77" s="89">
        <f t="shared" si="18"/>
        <v>789</v>
      </c>
      <c r="V77" s="89">
        <f t="shared" si="18"/>
        <v>912</v>
      </c>
    </row>
    <row r="78" spans="2:22" x14ac:dyDescent="0.25">
      <c r="B78" s="90"/>
    </row>
    <row r="79" spans="2:22" x14ac:dyDescent="0.25">
      <c r="B79" s="90" t="s">
        <v>168</v>
      </c>
      <c r="C79" s="89">
        <f>D181+D182+D183+D191+D196+D200</f>
        <v>202.1</v>
      </c>
      <c r="D79" s="89">
        <f>E181+E182+E183+E191+E196+E200</f>
        <v>187</v>
      </c>
      <c r="E79" s="89">
        <f>F181+F182+F183+F191+F196+F200</f>
        <v>246</v>
      </c>
      <c r="Q79" s="89">
        <f>D181+D182+D183+D191+D196+D200</f>
        <v>202.1</v>
      </c>
    </row>
    <row r="80" spans="2:22" x14ac:dyDescent="0.25">
      <c r="B80" s="90"/>
    </row>
    <row r="81" spans="2:10" x14ac:dyDescent="0.25">
      <c r="B81" s="121"/>
      <c r="C81" s="96"/>
      <c r="D81" s="96"/>
      <c r="E81" s="141">
        <f>E9-E31</f>
        <v>122</v>
      </c>
      <c r="F81" s="96"/>
      <c r="G81" s="96"/>
      <c r="H81" s="96"/>
      <c r="I81" s="141">
        <f>I9-I31</f>
        <v>122</v>
      </c>
      <c r="J81" s="96"/>
    </row>
    <row r="82" spans="2:10" x14ac:dyDescent="0.25">
      <c r="B82" s="121"/>
      <c r="C82" s="96"/>
      <c r="D82" s="96"/>
      <c r="E82" s="141">
        <f>E10-E32</f>
        <v>35.799999999999997</v>
      </c>
      <c r="F82" s="96"/>
      <c r="G82" s="96"/>
      <c r="H82" s="96"/>
      <c r="I82" s="141">
        <f>I10-I32</f>
        <v>64.349999999999994</v>
      </c>
      <c r="J82" s="96"/>
    </row>
    <row r="83" spans="2:10" x14ac:dyDescent="0.25">
      <c r="B83" s="121"/>
      <c r="C83" s="96"/>
      <c r="D83" s="96"/>
      <c r="E83" s="141">
        <f>E11-E33</f>
        <v>49.300000000000004</v>
      </c>
      <c r="F83" s="96"/>
      <c r="G83" s="96"/>
      <c r="H83" s="96"/>
      <c r="I83" s="141">
        <f>I11-I33</f>
        <v>77.849999999999994</v>
      </c>
      <c r="J83" s="96"/>
    </row>
    <row r="84" spans="2:10" x14ac:dyDescent="0.25">
      <c r="B84" s="121"/>
      <c r="C84" s="96"/>
      <c r="D84" s="96"/>
      <c r="E84" s="141">
        <f>E15-E34</f>
        <v>57.099999999999994</v>
      </c>
      <c r="F84" s="96"/>
      <c r="G84" s="96"/>
      <c r="H84" s="96"/>
      <c r="I84" s="96">
        <v>0</v>
      </c>
      <c r="J84" s="96"/>
    </row>
    <row r="85" spans="2:10" x14ac:dyDescent="0.25">
      <c r="B85" s="121"/>
      <c r="C85" s="96"/>
      <c r="D85" s="96"/>
      <c r="E85" s="89">
        <v>11.4</v>
      </c>
      <c r="F85" s="96"/>
      <c r="G85" s="96"/>
      <c r="H85" s="96"/>
      <c r="I85" s="89">
        <v>11.4</v>
      </c>
      <c r="J85" s="96"/>
    </row>
    <row r="86" spans="2:10" x14ac:dyDescent="0.25">
      <c r="B86" s="121"/>
      <c r="C86" s="96"/>
      <c r="D86" s="96"/>
      <c r="E86" s="141">
        <f>SUM(E81:E85)</f>
        <v>275.60000000000002</v>
      </c>
      <c r="F86" s="96"/>
      <c r="G86" s="96"/>
      <c r="H86" s="96"/>
      <c r="I86" s="141">
        <f>SUM(I81:I85)</f>
        <v>275.59999999999997</v>
      </c>
      <c r="J86" s="96"/>
    </row>
    <row r="87" spans="2:10" x14ac:dyDescent="0.25">
      <c r="B87" s="121"/>
      <c r="C87" s="96"/>
      <c r="D87" s="96"/>
      <c r="E87" s="96"/>
      <c r="F87" s="96"/>
      <c r="G87" s="96"/>
      <c r="H87" s="96"/>
      <c r="I87" s="96"/>
      <c r="J87" s="96"/>
    </row>
    <row r="88" spans="2:10" x14ac:dyDescent="0.25">
      <c r="B88" s="90"/>
    </row>
    <row r="104" spans="2:13" x14ac:dyDescent="0.25">
      <c r="M104" s="90"/>
    </row>
    <row r="105" spans="2:13" x14ac:dyDescent="0.25">
      <c r="B105" s="90"/>
    </row>
    <row r="106" spans="2:13" x14ac:dyDescent="0.25">
      <c r="B106" s="90"/>
    </row>
    <row r="107" spans="2:13" x14ac:dyDescent="0.25">
      <c r="B107" s="90"/>
    </row>
    <row r="108" spans="2:13" x14ac:dyDescent="0.25">
      <c r="B108" s="90"/>
    </row>
    <row r="109" spans="2:13" x14ac:dyDescent="0.25">
      <c r="B109" s="90"/>
    </row>
    <row r="110" spans="2:13" x14ac:dyDescent="0.25">
      <c r="B110" s="90"/>
    </row>
    <row r="111" spans="2:13" x14ac:dyDescent="0.25">
      <c r="B111" s="90"/>
    </row>
    <row r="112" spans="2:13" x14ac:dyDescent="0.25">
      <c r="B112" s="90"/>
    </row>
    <row r="113" spans="2:2" x14ac:dyDescent="0.25">
      <c r="B113" s="90"/>
    </row>
    <row r="114" spans="2:2" x14ac:dyDescent="0.25">
      <c r="B114" s="90"/>
    </row>
    <row r="115" spans="2:2" x14ac:dyDescent="0.25">
      <c r="B115" s="90"/>
    </row>
    <row r="116" spans="2:2" x14ac:dyDescent="0.25">
      <c r="B116" s="90"/>
    </row>
    <row r="117" spans="2:2" x14ac:dyDescent="0.25">
      <c r="B117" s="90"/>
    </row>
    <row r="118" spans="2:2" x14ac:dyDescent="0.25">
      <c r="B118" s="90"/>
    </row>
    <row r="119" spans="2:2" x14ac:dyDescent="0.25">
      <c r="B119" s="90"/>
    </row>
    <row r="120" spans="2:2" x14ac:dyDescent="0.25">
      <c r="B120" s="90"/>
    </row>
    <row r="121" spans="2:2" x14ac:dyDescent="0.25">
      <c r="B121" s="90"/>
    </row>
    <row r="122" spans="2:2" x14ac:dyDescent="0.25">
      <c r="B122" s="90"/>
    </row>
    <row r="123" spans="2:2" x14ac:dyDescent="0.25">
      <c r="B123" s="90"/>
    </row>
    <row r="124" spans="2:2" x14ac:dyDescent="0.25">
      <c r="B124" s="90"/>
    </row>
    <row r="125" spans="2:2" x14ac:dyDescent="0.25">
      <c r="B125" s="90"/>
    </row>
    <row r="126" spans="2:2" x14ac:dyDescent="0.25">
      <c r="B126" s="90"/>
    </row>
    <row r="127" spans="2:2" x14ac:dyDescent="0.25">
      <c r="B127" s="90"/>
    </row>
    <row r="128" spans="2:2" x14ac:dyDescent="0.25">
      <c r="B128" s="90"/>
    </row>
    <row r="129" spans="2:2" x14ac:dyDescent="0.25">
      <c r="B129" s="90"/>
    </row>
    <row r="130" spans="2:2" x14ac:dyDescent="0.25">
      <c r="B130" s="90"/>
    </row>
    <row r="131" spans="2:2" x14ac:dyDescent="0.25">
      <c r="B131" s="90"/>
    </row>
    <row r="132" spans="2:2" x14ac:dyDescent="0.25">
      <c r="B132" s="90"/>
    </row>
    <row r="133" spans="2:2" x14ac:dyDescent="0.25">
      <c r="B133" s="90"/>
    </row>
    <row r="134" spans="2:2" x14ac:dyDescent="0.25">
      <c r="B134" s="90"/>
    </row>
    <row r="135" spans="2:2" x14ac:dyDescent="0.25">
      <c r="B135" s="90"/>
    </row>
    <row r="136" spans="2:2" x14ac:dyDescent="0.25">
      <c r="B136" s="90"/>
    </row>
    <row r="137" spans="2:2" x14ac:dyDescent="0.25">
      <c r="B137" s="90"/>
    </row>
    <row r="138" spans="2:2" x14ac:dyDescent="0.25">
      <c r="B138" s="90"/>
    </row>
    <row r="139" spans="2:2" x14ac:dyDescent="0.25">
      <c r="B139" s="90"/>
    </row>
    <row r="140" spans="2:2" x14ac:dyDescent="0.25">
      <c r="B140" s="90"/>
    </row>
    <row r="141" spans="2:2" x14ac:dyDescent="0.25">
      <c r="B141" s="90"/>
    </row>
    <row r="142" spans="2:2" x14ac:dyDescent="0.25">
      <c r="B142" s="90"/>
    </row>
    <row r="143" spans="2:2" x14ac:dyDescent="0.25">
      <c r="B143" s="90"/>
    </row>
    <row r="144" spans="2:2" x14ac:dyDescent="0.25">
      <c r="B144" s="90"/>
    </row>
    <row r="145" spans="2:2" x14ac:dyDescent="0.25">
      <c r="B145" s="90"/>
    </row>
    <row r="146" spans="2:2" x14ac:dyDescent="0.25">
      <c r="B146" s="90"/>
    </row>
    <row r="147" spans="2:2" x14ac:dyDescent="0.25">
      <c r="B147" s="90"/>
    </row>
    <row r="148" spans="2:2" x14ac:dyDescent="0.25">
      <c r="B148" s="90"/>
    </row>
    <row r="149" spans="2:2" x14ac:dyDescent="0.25">
      <c r="B149" s="90"/>
    </row>
    <row r="150" spans="2:2" x14ac:dyDescent="0.25">
      <c r="B150" s="90"/>
    </row>
    <row r="151" spans="2:2" x14ac:dyDescent="0.25">
      <c r="B151" s="90"/>
    </row>
    <row r="152" spans="2:2" x14ac:dyDescent="0.25">
      <c r="B152" s="90"/>
    </row>
    <row r="153" spans="2:2" x14ac:dyDescent="0.25">
      <c r="B153" s="90"/>
    </row>
    <row r="154" spans="2:2" x14ac:dyDescent="0.25">
      <c r="B154" s="90"/>
    </row>
    <row r="155" spans="2:2" x14ac:dyDescent="0.25">
      <c r="B155" s="90"/>
    </row>
    <row r="156" spans="2:2" x14ac:dyDescent="0.25">
      <c r="B156" s="90"/>
    </row>
    <row r="157" spans="2:2" x14ac:dyDescent="0.25">
      <c r="B157" s="90"/>
    </row>
    <row r="158" spans="2:2" x14ac:dyDescent="0.25">
      <c r="B158" s="90"/>
    </row>
    <row r="159" spans="2:2" x14ac:dyDescent="0.25">
      <c r="B159" s="90"/>
    </row>
    <row r="160" spans="2:2" x14ac:dyDescent="0.25">
      <c r="B160" s="90"/>
    </row>
    <row r="161" spans="2:15" x14ac:dyDescent="0.25">
      <c r="B161" s="90"/>
    </row>
    <row r="162" spans="2:15" x14ac:dyDescent="0.25">
      <c r="B162" s="90"/>
    </row>
    <row r="163" spans="2:15" x14ac:dyDescent="0.25">
      <c r="B163" s="90"/>
    </row>
    <row r="164" spans="2:15" x14ac:dyDescent="0.25">
      <c r="B164" s="90"/>
    </row>
    <row r="165" spans="2:15" x14ac:dyDescent="0.25">
      <c r="B165" s="90"/>
    </row>
    <row r="166" spans="2:15" x14ac:dyDescent="0.25">
      <c r="B166" s="90"/>
    </row>
    <row r="167" spans="2:15" x14ac:dyDescent="0.25">
      <c r="B167" s="90"/>
    </row>
    <row r="168" spans="2:15" x14ac:dyDescent="0.25">
      <c r="B168" s="90"/>
    </row>
    <row r="169" spans="2:15" x14ac:dyDescent="0.25">
      <c r="B169" s="90"/>
    </row>
    <row r="170" spans="2:15" x14ac:dyDescent="0.25">
      <c r="B170" s="90"/>
    </row>
    <row r="171" spans="2:15" x14ac:dyDescent="0.25">
      <c r="B171" s="90"/>
    </row>
    <row r="172" spans="2:15" x14ac:dyDescent="0.25">
      <c r="B172" s="90"/>
    </row>
    <row r="173" spans="2:15" x14ac:dyDescent="0.25">
      <c r="B173" s="90"/>
    </row>
    <row r="174" spans="2:15" x14ac:dyDescent="0.25">
      <c r="B174" s="90"/>
    </row>
    <row r="175" spans="2:15" x14ac:dyDescent="0.25">
      <c r="B175" s="90"/>
      <c r="O175" s="90" t="s">
        <v>169</v>
      </c>
    </row>
    <row r="176" spans="2:15" x14ac:dyDescent="0.25">
      <c r="B176" s="90"/>
    </row>
    <row r="178" spans="3:6" ht="60" x14ac:dyDescent="0.25">
      <c r="C178" s="147" t="s">
        <v>73</v>
      </c>
      <c r="D178" s="148">
        <v>2008</v>
      </c>
      <c r="E178" s="124" t="s">
        <v>158</v>
      </c>
      <c r="F178" s="124" t="s">
        <v>91</v>
      </c>
    </row>
    <row r="179" spans="3:6" x14ac:dyDescent="0.25">
      <c r="C179" s="148" t="s">
        <v>74</v>
      </c>
      <c r="D179" s="148">
        <v>86</v>
      </c>
      <c r="E179" s="148">
        <v>0</v>
      </c>
      <c r="F179" s="148">
        <v>0</v>
      </c>
    </row>
    <row r="180" spans="3:6" x14ac:dyDescent="0.25">
      <c r="C180" s="148" t="s">
        <v>75</v>
      </c>
      <c r="D180" s="148">
        <v>82</v>
      </c>
      <c r="E180" s="148">
        <v>0</v>
      </c>
      <c r="F180" s="148">
        <v>0</v>
      </c>
    </row>
    <row r="181" spans="3:6" x14ac:dyDescent="0.25">
      <c r="C181" s="148" t="s">
        <v>76</v>
      </c>
      <c r="D181" s="148">
        <v>27</v>
      </c>
      <c r="E181" s="148">
        <v>0</v>
      </c>
      <c r="F181" s="148">
        <v>0</v>
      </c>
    </row>
    <row r="182" spans="3:6" x14ac:dyDescent="0.25">
      <c r="C182" s="148" t="s">
        <v>77</v>
      </c>
      <c r="D182" s="148">
        <v>69</v>
      </c>
      <c r="E182" s="148">
        <v>57</v>
      </c>
      <c r="F182" s="148">
        <v>66</v>
      </c>
    </row>
    <row r="183" spans="3:6" x14ac:dyDescent="0.25">
      <c r="C183" s="148" t="s">
        <v>78</v>
      </c>
      <c r="D183" s="148">
        <v>0.1</v>
      </c>
      <c r="E183" s="148">
        <v>16</v>
      </c>
      <c r="F183" s="148">
        <v>23</v>
      </c>
    </row>
    <row r="184" spans="3:6" x14ac:dyDescent="0.25">
      <c r="C184" s="148" t="s">
        <v>80</v>
      </c>
      <c r="D184" s="148">
        <v>0.2</v>
      </c>
      <c r="E184" s="148">
        <v>49</v>
      </c>
      <c r="F184" s="148">
        <v>68</v>
      </c>
    </row>
    <row r="185" spans="3:6" x14ac:dyDescent="0.25">
      <c r="C185" s="148" t="s">
        <v>3</v>
      </c>
      <c r="D185" s="148">
        <v>0.6</v>
      </c>
      <c r="E185" s="148">
        <v>49</v>
      </c>
      <c r="F185" s="148">
        <v>69</v>
      </c>
    </row>
    <row r="186" spans="3:6" x14ac:dyDescent="0.25">
      <c r="C186" s="148" t="s">
        <v>81</v>
      </c>
      <c r="D186" s="148">
        <v>157</v>
      </c>
      <c r="E186" s="148">
        <v>39</v>
      </c>
      <c r="F186" s="148">
        <v>13</v>
      </c>
    </row>
    <row r="187" spans="3:6" x14ac:dyDescent="0.25">
      <c r="C187" s="148"/>
      <c r="D187" s="148">
        <f>SUM(D179:D186)</f>
        <v>421.90000000000003</v>
      </c>
      <c r="E187" s="149">
        <f>SUM(E179:E186)</f>
        <v>210</v>
      </c>
      <c r="F187" s="149">
        <f>SUM(F179:F186)</f>
        <v>239</v>
      </c>
    </row>
    <row r="188" spans="3:6" x14ac:dyDescent="0.25">
      <c r="C188" s="147" t="s">
        <v>82</v>
      </c>
      <c r="D188" s="148">
        <v>2008</v>
      </c>
      <c r="E188" s="148" t="s">
        <v>170</v>
      </c>
    </row>
    <row r="189" spans="3:6" x14ac:dyDescent="0.25">
      <c r="C189" s="148" t="s">
        <v>14</v>
      </c>
      <c r="D189" s="148">
        <v>10</v>
      </c>
      <c r="E189" s="148">
        <v>17</v>
      </c>
      <c r="F189" s="148">
        <v>15</v>
      </c>
    </row>
    <row r="190" spans="3:6" x14ac:dyDescent="0.25">
      <c r="C190" s="148" t="s">
        <v>30</v>
      </c>
      <c r="D190" s="148">
        <v>288</v>
      </c>
      <c r="E190" s="148">
        <v>38</v>
      </c>
      <c r="F190" s="148">
        <v>40</v>
      </c>
    </row>
    <row r="191" spans="3:6" x14ac:dyDescent="0.25">
      <c r="C191" s="148" t="s">
        <v>159</v>
      </c>
      <c r="D191" s="148">
        <v>7</v>
      </c>
      <c r="E191" s="148">
        <v>30</v>
      </c>
      <c r="F191" s="148">
        <v>43</v>
      </c>
    </row>
    <row r="192" spans="3:6" x14ac:dyDescent="0.25">
      <c r="C192" s="148"/>
      <c r="D192" s="148">
        <f>SUM(D189:D191)</f>
        <v>305</v>
      </c>
      <c r="E192" s="149">
        <f>SUM(E189:E191)</f>
        <v>85</v>
      </c>
      <c r="F192" s="149">
        <f>SUM(F189:F191)</f>
        <v>98</v>
      </c>
    </row>
    <row r="193" spans="2:17" x14ac:dyDescent="0.25">
      <c r="C193" s="147" t="s">
        <v>171</v>
      </c>
      <c r="D193" s="148">
        <v>2008</v>
      </c>
      <c r="E193" s="148" t="s">
        <v>170</v>
      </c>
      <c r="K193" s="89" t="s">
        <v>159</v>
      </c>
      <c r="L193" s="90" t="s">
        <v>172</v>
      </c>
      <c r="M193" s="89" t="s">
        <v>173</v>
      </c>
      <c r="N193" s="89" t="s">
        <v>174</v>
      </c>
      <c r="O193" s="89" t="s">
        <v>30</v>
      </c>
      <c r="P193" s="89" t="s">
        <v>14</v>
      </c>
      <c r="Q193" s="90" t="s">
        <v>7</v>
      </c>
    </row>
    <row r="194" spans="2:17" x14ac:dyDescent="0.25">
      <c r="C194" s="148" t="s">
        <v>30</v>
      </c>
      <c r="D194" s="148">
        <v>18</v>
      </c>
      <c r="E194" s="148">
        <v>0</v>
      </c>
      <c r="F194" s="148">
        <v>0</v>
      </c>
      <c r="I194" s="90" t="s">
        <v>11</v>
      </c>
      <c r="K194" s="89">
        <f>F182</f>
        <v>66</v>
      </c>
      <c r="L194" s="89">
        <f>F183</f>
        <v>23</v>
      </c>
      <c r="N194" s="89">
        <f>F184+F185</f>
        <v>137</v>
      </c>
      <c r="O194" s="89">
        <v>1</v>
      </c>
      <c r="P194" s="89">
        <v>1</v>
      </c>
    </row>
    <row r="195" spans="2:17" x14ac:dyDescent="0.25">
      <c r="C195" s="148" t="s">
        <v>32</v>
      </c>
      <c r="D195" s="148">
        <v>65</v>
      </c>
      <c r="E195" s="148">
        <v>57</v>
      </c>
      <c r="F195" s="148">
        <v>86</v>
      </c>
      <c r="K195" s="89">
        <v>0</v>
      </c>
      <c r="L195" s="89">
        <v>0</v>
      </c>
      <c r="M195" s="89">
        <v>1</v>
      </c>
      <c r="N195" s="89">
        <v>0</v>
      </c>
      <c r="O195" s="89">
        <v>1</v>
      </c>
      <c r="P195" s="89">
        <v>1</v>
      </c>
    </row>
    <row r="196" spans="2:17" x14ac:dyDescent="0.25">
      <c r="C196" s="148" t="s">
        <v>85</v>
      </c>
      <c r="D196" s="148">
        <v>0</v>
      </c>
      <c r="E196" s="148">
        <v>25</v>
      </c>
      <c r="F196" s="148">
        <v>25</v>
      </c>
      <c r="I196" s="90" t="s">
        <v>34</v>
      </c>
      <c r="K196" s="89">
        <f>F191</f>
        <v>43</v>
      </c>
      <c r="O196" s="89">
        <f>F190</f>
        <v>40</v>
      </c>
      <c r="P196" s="89">
        <f>F189</f>
        <v>15</v>
      </c>
    </row>
    <row r="197" spans="2:17" x14ac:dyDescent="0.25">
      <c r="C197" s="148" t="s">
        <v>86</v>
      </c>
      <c r="D197" s="148">
        <v>0</v>
      </c>
      <c r="E197" s="148">
        <v>22</v>
      </c>
      <c r="F197" s="148">
        <v>46</v>
      </c>
      <c r="K197" s="91">
        <v>0.75</v>
      </c>
      <c r="L197" s="89">
        <v>0</v>
      </c>
      <c r="M197" s="89">
        <v>1</v>
      </c>
      <c r="O197" s="89">
        <v>1</v>
      </c>
      <c r="P197" s="89">
        <v>1</v>
      </c>
    </row>
    <row r="198" spans="2:17" x14ac:dyDescent="0.25">
      <c r="C198" s="148" t="s">
        <v>87</v>
      </c>
      <c r="D198" s="148">
        <v>7</v>
      </c>
      <c r="E198" s="148">
        <v>38</v>
      </c>
      <c r="F198" s="148">
        <v>58</v>
      </c>
      <c r="I198" s="90" t="s">
        <v>16</v>
      </c>
      <c r="K198" s="89">
        <f>F200</f>
        <v>89</v>
      </c>
      <c r="L198" s="89">
        <v>0</v>
      </c>
      <c r="M198" s="89">
        <f>F196+F198</f>
        <v>83</v>
      </c>
      <c r="N198" s="89">
        <f>F195</f>
        <v>86</v>
      </c>
      <c r="O198" s="89">
        <v>0</v>
      </c>
      <c r="P198" s="89">
        <f>F197</f>
        <v>46</v>
      </c>
    </row>
    <row r="199" spans="2:17" x14ac:dyDescent="0.25">
      <c r="C199" s="148" t="s">
        <v>88</v>
      </c>
      <c r="D199" s="148">
        <v>123</v>
      </c>
      <c r="E199" s="148">
        <v>0</v>
      </c>
      <c r="F199" s="148">
        <v>0</v>
      </c>
      <c r="K199" s="89">
        <v>0.5</v>
      </c>
      <c r="M199" s="89">
        <v>1</v>
      </c>
      <c r="N199" s="89">
        <v>0.25</v>
      </c>
      <c r="O199" s="89">
        <v>0</v>
      </c>
      <c r="P199" s="89">
        <v>1</v>
      </c>
    </row>
    <row r="200" spans="2:17" x14ac:dyDescent="0.25">
      <c r="C200" s="148" t="s">
        <v>90</v>
      </c>
      <c r="D200" s="148">
        <v>99</v>
      </c>
      <c r="E200" s="148">
        <v>59</v>
      </c>
      <c r="F200" s="148">
        <v>89</v>
      </c>
      <c r="I200" s="90" t="s">
        <v>175</v>
      </c>
      <c r="J200" s="89">
        <f>SUM(K200:Q200)</f>
        <v>207.45</v>
      </c>
      <c r="K200" s="89">
        <f>K199*K198+K196*K197+K194*K195</f>
        <v>76.75</v>
      </c>
      <c r="M200" s="89">
        <f>F196</f>
        <v>25</v>
      </c>
      <c r="Q200" s="89">
        <f>H224</f>
        <v>105.69999999999999</v>
      </c>
    </row>
    <row r="201" spans="2:17" x14ac:dyDescent="0.25">
      <c r="C201" s="148" t="s">
        <v>176</v>
      </c>
      <c r="D201" s="150">
        <f>SUM(D194:D200)</f>
        <v>312</v>
      </c>
      <c r="E201" s="150">
        <f>SUM(E194:E200)</f>
        <v>201</v>
      </c>
      <c r="F201" s="150">
        <f>SUM(F194:F200)</f>
        <v>304</v>
      </c>
      <c r="H201" s="90" t="s">
        <v>177</v>
      </c>
      <c r="I201" s="90" t="s">
        <v>0</v>
      </c>
      <c r="J201" s="89">
        <f>K218</f>
        <v>122</v>
      </c>
      <c r="M201" s="90" t="s">
        <v>5</v>
      </c>
      <c r="N201" s="89">
        <f>H205</f>
        <v>102.3</v>
      </c>
    </row>
    <row r="202" spans="2:17" ht="15.75" thickBot="1" x14ac:dyDescent="0.3">
      <c r="C202" s="90" t="s">
        <v>178</v>
      </c>
      <c r="H202" s="89">
        <v>2050</v>
      </c>
      <c r="I202" s="90" t="s">
        <v>179</v>
      </c>
      <c r="J202" s="89">
        <f>K220</f>
        <v>35.799999999999997</v>
      </c>
      <c r="M202" s="90" t="s">
        <v>3</v>
      </c>
      <c r="N202" s="89">
        <v>75</v>
      </c>
    </row>
    <row r="203" spans="2:17" x14ac:dyDescent="0.25">
      <c r="B203" s="151" t="s">
        <v>180</v>
      </c>
      <c r="C203" s="152" t="s">
        <v>181</v>
      </c>
      <c r="D203" s="152">
        <v>5.4</v>
      </c>
      <c r="E203" s="152">
        <v>14</v>
      </c>
      <c r="F203" s="152">
        <v>9.5</v>
      </c>
      <c r="G203" s="152">
        <v>14</v>
      </c>
      <c r="H203" s="153">
        <v>11.4</v>
      </c>
      <c r="I203" s="90" t="s">
        <v>182</v>
      </c>
      <c r="J203" s="89">
        <f>K217</f>
        <v>11.4</v>
      </c>
    </row>
    <row r="204" spans="2:17" x14ac:dyDescent="0.25">
      <c r="B204" s="154" t="s">
        <v>183</v>
      </c>
      <c r="C204" s="155" t="s">
        <v>181</v>
      </c>
      <c r="D204" s="155">
        <v>7.86</v>
      </c>
      <c r="E204" s="155">
        <v>11.1</v>
      </c>
      <c r="F204" s="155">
        <v>43.5</v>
      </c>
      <c r="G204" s="155">
        <v>11.1</v>
      </c>
      <c r="H204" s="156">
        <v>65</v>
      </c>
      <c r="I204" s="90" t="s">
        <v>184</v>
      </c>
      <c r="J204" s="89">
        <f>K223</f>
        <v>57.099999999999994</v>
      </c>
    </row>
    <row r="205" spans="2:17" x14ac:dyDescent="0.25">
      <c r="B205" s="154" t="s">
        <v>185</v>
      </c>
      <c r="C205" s="155" t="s">
        <v>181</v>
      </c>
      <c r="D205" s="155">
        <v>136</v>
      </c>
      <c r="E205" s="155">
        <v>170</v>
      </c>
      <c r="F205" s="155">
        <v>104.1</v>
      </c>
      <c r="G205" s="155">
        <v>170</v>
      </c>
      <c r="H205" s="156">
        <v>102.3</v>
      </c>
      <c r="J205" s="89">
        <f>SUM(J201:J204)</f>
        <v>226.3</v>
      </c>
      <c r="K205" s="90" t="s">
        <v>11</v>
      </c>
      <c r="N205" s="89">
        <f>F186</f>
        <v>13</v>
      </c>
    </row>
    <row r="206" spans="2:17" x14ac:dyDescent="0.25">
      <c r="B206" s="154" t="s">
        <v>186</v>
      </c>
      <c r="C206" s="155" t="s">
        <v>181</v>
      </c>
      <c r="D206" s="157">
        <v>43134</v>
      </c>
      <c r="E206" s="155">
        <v>12.6</v>
      </c>
      <c r="F206" s="155">
        <v>16.100000000000001</v>
      </c>
      <c r="G206" s="155">
        <v>12.6</v>
      </c>
      <c r="H206" s="156">
        <v>22.7</v>
      </c>
      <c r="I206" s="90" t="s">
        <v>187</v>
      </c>
      <c r="J206" s="117">
        <f>J205-J200</f>
        <v>18.850000000000023</v>
      </c>
      <c r="N206" s="89">
        <v>1</v>
      </c>
    </row>
    <row r="207" spans="2:17" x14ac:dyDescent="0.25">
      <c r="B207" s="154" t="s">
        <v>188</v>
      </c>
      <c r="C207" s="155" t="s">
        <v>181</v>
      </c>
      <c r="D207" s="155">
        <v>2.6</v>
      </c>
      <c r="E207" s="155">
        <v>4.5</v>
      </c>
      <c r="F207" s="155">
        <v>12.1</v>
      </c>
      <c r="G207" s="155">
        <v>4.5</v>
      </c>
      <c r="H207" s="156">
        <v>14.7</v>
      </c>
      <c r="I207" s="90" t="s">
        <v>5</v>
      </c>
      <c r="K207" s="90" t="s">
        <v>16</v>
      </c>
      <c r="M207" s="89">
        <f>F198</f>
        <v>58</v>
      </c>
      <c r="N207" s="89">
        <f>F195</f>
        <v>86</v>
      </c>
    </row>
    <row r="208" spans="2:17" x14ac:dyDescent="0.25">
      <c r="I208" s="90" t="s">
        <v>189</v>
      </c>
      <c r="J208" s="117">
        <f>F186</f>
        <v>13</v>
      </c>
      <c r="M208" s="89">
        <v>1</v>
      </c>
      <c r="N208" s="89">
        <v>0.5</v>
      </c>
    </row>
    <row r="209" spans="3:16" x14ac:dyDescent="0.25">
      <c r="C209" s="90" t="s">
        <v>190</v>
      </c>
      <c r="D209" s="90" t="s">
        <v>191</v>
      </c>
      <c r="E209" s="90" t="s">
        <v>192</v>
      </c>
      <c r="I209" s="90" t="s">
        <v>193</v>
      </c>
      <c r="J209" s="89">
        <f>N201-N209</f>
        <v>46.3</v>
      </c>
      <c r="N209" s="89">
        <f>N208*N207+N206*N205</f>
        <v>56</v>
      </c>
    </row>
    <row r="210" spans="3:16" x14ac:dyDescent="0.25">
      <c r="C210" s="90" t="s">
        <v>194</v>
      </c>
      <c r="D210" s="89">
        <v>0.75</v>
      </c>
      <c r="E210" s="89">
        <v>0.8</v>
      </c>
    </row>
    <row r="211" spans="3:16" x14ac:dyDescent="0.25">
      <c r="C211" s="90" t="s">
        <v>7</v>
      </c>
      <c r="D211" s="91">
        <v>0.6</v>
      </c>
      <c r="E211" s="89">
        <v>0.65</v>
      </c>
    </row>
    <row r="212" spans="3:16" x14ac:dyDescent="0.25">
      <c r="C212" s="90" t="s">
        <v>195</v>
      </c>
      <c r="D212" s="89">
        <v>0.35</v>
      </c>
      <c r="E212" s="89">
        <v>0.4</v>
      </c>
    </row>
    <row r="213" spans="3:16" x14ac:dyDescent="0.25">
      <c r="C213" s="90" t="s">
        <v>182</v>
      </c>
      <c r="D213" s="89">
        <v>0.5</v>
      </c>
      <c r="E213" s="89">
        <v>0.6</v>
      </c>
    </row>
    <row r="215" spans="3:16" x14ac:dyDescent="0.25">
      <c r="D215" s="90" t="s">
        <v>196</v>
      </c>
      <c r="E215" s="90" t="s">
        <v>137</v>
      </c>
      <c r="G215" s="90" t="s">
        <v>7</v>
      </c>
      <c r="H215" s="90" t="s">
        <v>197</v>
      </c>
    </row>
    <row r="216" spans="3:16" x14ac:dyDescent="0.25">
      <c r="C216" s="90" t="s">
        <v>92</v>
      </c>
      <c r="E216" s="89" t="s">
        <v>158</v>
      </c>
      <c r="F216" s="89" t="s">
        <v>91</v>
      </c>
      <c r="G216" s="89" t="s">
        <v>158</v>
      </c>
      <c r="H216" s="89" t="s">
        <v>91</v>
      </c>
      <c r="K216" s="89" t="s">
        <v>159</v>
      </c>
      <c r="L216" s="89" t="s">
        <v>198</v>
      </c>
      <c r="M216" s="89" t="s">
        <v>173</v>
      </c>
      <c r="N216" s="89" t="s">
        <v>174</v>
      </c>
      <c r="O216" s="89" t="s">
        <v>30</v>
      </c>
      <c r="P216" s="89" t="s">
        <v>14</v>
      </c>
    </row>
    <row r="217" spans="3:16" x14ac:dyDescent="0.25">
      <c r="C217" s="90" t="s">
        <v>5</v>
      </c>
      <c r="D217" s="89">
        <v>307</v>
      </c>
      <c r="E217" s="89">
        <v>244</v>
      </c>
      <c r="F217" s="89">
        <v>293</v>
      </c>
      <c r="K217" s="89">
        <f>H203</f>
        <v>11.4</v>
      </c>
      <c r="M217" s="89">
        <f>H204</f>
        <v>65</v>
      </c>
      <c r="N217" s="89">
        <f>H205</f>
        <v>102.3</v>
      </c>
      <c r="O217" s="89">
        <f>H206</f>
        <v>22.7</v>
      </c>
      <c r="P217" s="89">
        <f>H207</f>
        <v>14.7</v>
      </c>
    </row>
    <row r="218" spans="3:16" x14ac:dyDescent="0.25">
      <c r="C218" s="90" t="s">
        <v>0</v>
      </c>
      <c r="D218" s="89">
        <v>202</v>
      </c>
      <c r="E218" s="89">
        <f>114.5+G218</f>
        <v>161.30000000000001</v>
      </c>
      <c r="F218" s="89">
        <v>177</v>
      </c>
      <c r="G218" s="89">
        <v>46.8</v>
      </c>
      <c r="H218" s="89">
        <v>55</v>
      </c>
      <c r="K218" s="89">
        <f>F218-H218</f>
        <v>122</v>
      </c>
    </row>
    <row r="219" spans="3:16" x14ac:dyDescent="0.25">
      <c r="C219" s="90" t="s">
        <v>1</v>
      </c>
      <c r="D219" s="89">
        <v>93</v>
      </c>
      <c r="E219" s="89">
        <f>41.7+G219</f>
        <v>57.900000000000006</v>
      </c>
      <c r="F219" s="89">
        <f>49.3+H219</f>
        <v>70.400000000000006</v>
      </c>
      <c r="G219" s="89">
        <v>16.2</v>
      </c>
      <c r="H219" s="90">
        <v>21.1</v>
      </c>
    </row>
    <row r="220" spans="3:16" x14ac:dyDescent="0.25">
      <c r="C220" s="90" t="s">
        <v>2</v>
      </c>
      <c r="D220" s="89">
        <v>65</v>
      </c>
      <c r="E220" s="89">
        <f>35+G220</f>
        <v>48.6</v>
      </c>
      <c r="F220" s="89">
        <f>35.8+H220</f>
        <v>51.9</v>
      </c>
      <c r="G220" s="89">
        <v>13.6</v>
      </c>
      <c r="H220" s="90">
        <v>16.100000000000001</v>
      </c>
      <c r="K220" s="89">
        <f>F220-H220</f>
        <v>35.799999999999997</v>
      </c>
    </row>
    <row r="221" spans="3:16" x14ac:dyDescent="0.25">
      <c r="C221" s="90" t="s">
        <v>3</v>
      </c>
      <c r="D221" s="89">
        <v>120</v>
      </c>
      <c r="E221" s="89">
        <v>50</v>
      </c>
      <c r="F221" s="89">
        <v>75</v>
      </c>
      <c r="I221" s="89">
        <v>5.4</v>
      </c>
      <c r="J221" s="89">
        <v>7.6</v>
      </c>
      <c r="N221" s="89">
        <v>20.7</v>
      </c>
    </row>
    <row r="222" spans="3:16" x14ac:dyDescent="0.25">
      <c r="C222" s="90" t="s">
        <v>4</v>
      </c>
      <c r="D222" s="89">
        <v>341</v>
      </c>
      <c r="E222" s="89">
        <v>49</v>
      </c>
      <c r="F222" s="89">
        <v>68</v>
      </c>
    </row>
    <row r="223" spans="3:16" x14ac:dyDescent="0.25">
      <c r="C223" s="90" t="s">
        <v>199</v>
      </c>
      <c r="D223" s="89">
        <v>211</v>
      </c>
      <c r="E223" s="89">
        <f>8.2+0.3+G223</f>
        <v>10.6</v>
      </c>
      <c r="F223" s="89">
        <f>54.2+2.9+H223</f>
        <v>70.599999999999994</v>
      </c>
      <c r="G223" s="89">
        <v>2.1</v>
      </c>
      <c r="H223" s="89">
        <v>13.5</v>
      </c>
      <c r="K223" s="89">
        <f>F223-H223</f>
        <v>57.099999999999994</v>
      </c>
    </row>
    <row r="224" spans="3:16" x14ac:dyDescent="0.25">
      <c r="D224" s="89">
        <f>SUM(D217:D223)</f>
        <v>1339</v>
      </c>
      <c r="E224" s="89">
        <f>SUM(E217:E223)</f>
        <v>621.40000000000009</v>
      </c>
      <c r="F224" s="117">
        <f>SUM(F217:F223)</f>
        <v>805.9</v>
      </c>
      <c r="H224" s="89">
        <f>SUM(H217:H223)</f>
        <v>105.69999999999999</v>
      </c>
      <c r="K224" s="89">
        <f>K217+K218+K220</f>
        <v>169.2</v>
      </c>
    </row>
    <row r="225" spans="3:11" x14ac:dyDescent="0.25">
      <c r="J225" s="90" t="s">
        <v>11</v>
      </c>
      <c r="K225" s="89">
        <f>F182+F183</f>
        <v>89</v>
      </c>
    </row>
    <row r="226" spans="3:11" x14ac:dyDescent="0.25">
      <c r="C226" s="90" t="s">
        <v>159</v>
      </c>
      <c r="E226" s="89">
        <v>209</v>
      </c>
      <c r="F226" s="89">
        <v>273</v>
      </c>
      <c r="J226" s="90" t="s">
        <v>200</v>
      </c>
      <c r="K226" s="89">
        <f>F191</f>
        <v>43</v>
      </c>
    </row>
    <row r="227" spans="3:11" x14ac:dyDescent="0.25">
      <c r="C227" s="90" t="s">
        <v>198</v>
      </c>
      <c r="E227" s="89">
        <v>66</v>
      </c>
      <c r="F227" s="89">
        <v>91</v>
      </c>
      <c r="J227" s="90" t="s">
        <v>16</v>
      </c>
      <c r="K227" s="89">
        <f>F196</f>
        <v>25</v>
      </c>
    </row>
    <row r="228" spans="3:11" x14ac:dyDescent="0.25">
      <c r="C228" s="90" t="s">
        <v>201</v>
      </c>
      <c r="E228" s="89">
        <v>90</v>
      </c>
      <c r="F228" s="89">
        <v>136</v>
      </c>
      <c r="K228" s="89">
        <f>F200</f>
        <v>89</v>
      </c>
    </row>
    <row r="229" spans="3:11" x14ac:dyDescent="0.25">
      <c r="C229" s="90" t="s">
        <v>174</v>
      </c>
      <c r="E229" s="89">
        <v>154</v>
      </c>
      <c r="F229" s="89">
        <v>180</v>
      </c>
      <c r="K229" s="89">
        <f>SUM(K226:K228)</f>
        <v>157</v>
      </c>
    </row>
    <row r="230" spans="3:11" x14ac:dyDescent="0.25">
      <c r="C230" s="90" t="s">
        <v>30</v>
      </c>
      <c r="E230" s="89">
        <v>39</v>
      </c>
      <c r="F230" s="89">
        <v>42</v>
      </c>
    </row>
    <row r="231" spans="3:11" x14ac:dyDescent="0.25">
      <c r="C231" s="90" t="s">
        <v>14</v>
      </c>
      <c r="E231" s="89">
        <v>41</v>
      </c>
      <c r="F231" s="89">
        <v>64</v>
      </c>
    </row>
    <row r="232" spans="3:11" x14ac:dyDescent="0.25">
      <c r="C232" s="90" t="s">
        <v>182</v>
      </c>
      <c r="E232" s="89">
        <v>28</v>
      </c>
      <c r="F232" s="89">
        <v>33</v>
      </c>
    </row>
    <row r="233" spans="3:11" x14ac:dyDescent="0.25">
      <c r="C233" s="117" t="s">
        <v>102</v>
      </c>
      <c r="D233" s="89">
        <v>2008</v>
      </c>
      <c r="E233" s="89">
        <f>SUM(E226:E231)</f>
        <v>599</v>
      </c>
      <c r="F233" s="89">
        <f>SUM(F226:F231)</f>
        <v>786</v>
      </c>
    </row>
    <row r="234" spans="3:11" x14ac:dyDescent="0.25">
      <c r="C234" s="90" t="s">
        <v>11</v>
      </c>
      <c r="D234" s="89">
        <v>433</v>
      </c>
      <c r="E234" s="89">
        <v>211</v>
      </c>
      <c r="F234" s="89">
        <v>240</v>
      </c>
    </row>
    <row r="235" spans="3:11" x14ac:dyDescent="0.25">
      <c r="C235" s="90" t="s">
        <v>20</v>
      </c>
      <c r="D235" s="89">
        <v>306</v>
      </c>
      <c r="E235" s="89">
        <v>85</v>
      </c>
      <c r="F235" s="89">
        <v>98</v>
      </c>
    </row>
    <row r="236" spans="3:11" x14ac:dyDescent="0.25">
      <c r="C236" s="90" t="s">
        <v>16</v>
      </c>
      <c r="D236" s="89">
        <v>312</v>
      </c>
      <c r="E236" s="89">
        <v>201</v>
      </c>
      <c r="F236" s="89">
        <v>305</v>
      </c>
    </row>
    <row r="237" spans="3:11" x14ac:dyDescent="0.25">
      <c r="C237" s="90"/>
      <c r="D237" s="89">
        <f>SUM(D234:D236)</f>
        <v>1051</v>
      </c>
      <c r="E237" s="89">
        <f>SUM(E234:E236)</f>
        <v>497</v>
      </c>
      <c r="F237" s="117">
        <f>SUM(F234:F236)</f>
        <v>643</v>
      </c>
    </row>
    <row r="238" spans="3:11" x14ac:dyDescent="0.25">
      <c r="C238" s="90"/>
      <c r="F238" s="89">
        <f>F233/F224</f>
        <v>0.9753071100632833</v>
      </c>
    </row>
    <row r="239" spans="3:11" x14ac:dyDescent="0.25">
      <c r="C239" s="90"/>
    </row>
    <row r="243" spans="3:11" x14ac:dyDescent="0.25">
      <c r="E243" s="90" t="s">
        <v>202</v>
      </c>
      <c r="H243" s="90" t="s">
        <v>136</v>
      </c>
    </row>
    <row r="244" spans="3:11" x14ac:dyDescent="0.25">
      <c r="E244" s="89">
        <v>2010</v>
      </c>
      <c r="H244" s="89">
        <v>2013</v>
      </c>
      <c r="I244" s="89">
        <v>2030</v>
      </c>
      <c r="J244" s="89">
        <v>2050</v>
      </c>
    </row>
    <row r="245" spans="3:11" x14ac:dyDescent="0.25">
      <c r="E245" s="89" t="s">
        <v>176</v>
      </c>
    </row>
    <row r="246" spans="3:11" x14ac:dyDescent="0.25">
      <c r="C246" s="89" t="s">
        <v>203</v>
      </c>
      <c r="E246" s="89">
        <v>8382000</v>
      </c>
      <c r="H246" s="89">
        <v>8500000</v>
      </c>
      <c r="I246" s="89">
        <v>9200000</v>
      </c>
      <c r="J246" s="89">
        <v>9500000</v>
      </c>
    </row>
    <row r="247" spans="3:11" x14ac:dyDescent="0.25">
      <c r="C247" s="89" t="s">
        <v>204</v>
      </c>
      <c r="E247" s="89">
        <v>3620000</v>
      </c>
      <c r="H247" s="89">
        <f>H246/E246*E247</f>
        <v>3670961.5843474111</v>
      </c>
    </row>
    <row r="248" spans="3:11" x14ac:dyDescent="0.25">
      <c r="I248" s="90" t="s">
        <v>205</v>
      </c>
      <c r="J248" s="90" t="s">
        <v>206</v>
      </c>
    </row>
    <row r="249" spans="3:11" x14ac:dyDescent="0.25">
      <c r="G249" s="90" t="s">
        <v>207</v>
      </c>
      <c r="I249" s="90" t="s">
        <v>208</v>
      </c>
      <c r="J249" s="90" t="s">
        <v>209</v>
      </c>
      <c r="K249" s="90" t="s">
        <v>210</v>
      </c>
    </row>
    <row r="251" spans="3:11" ht="15.75" thickBot="1" x14ac:dyDescent="0.3">
      <c r="C251" s="158" t="s">
        <v>211</v>
      </c>
      <c r="D251" s="159">
        <v>2010</v>
      </c>
      <c r="E251" s="159">
        <v>2020</v>
      </c>
      <c r="F251" s="159">
        <v>2030</v>
      </c>
      <c r="G251" s="159">
        <v>2040</v>
      </c>
      <c r="H251" s="159">
        <v>2050</v>
      </c>
    </row>
    <row r="252" spans="3:11" ht="24.75" thickBot="1" x14ac:dyDescent="0.3">
      <c r="C252" s="160" t="s">
        <v>212</v>
      </c>
      <c r="D252" s="161">
        <v>285</v>
      </c>
      <c r="E252" s="161">
        <v>330</v>
      </c>
      <c r="F252" s="161">
        <v>383</v>
      </c>
      <c r="G252" s="161">
        <v>441</v>
      </c>
      <c r="H252" s="161">
        <v>495</v>
      </c>
    </row>
    <row r="253" spans="3:11" ht="24.75" thickBot="1" x14ac:dyDescent="0.3">
      <c r="C253" s="160" t="s">
        <v>213</v>
      </c>
      <c r="D253" s="162">
        <v>8382</v>
      </c>
      <c r="E253" s="162">
        <v>8733</v>
      </c>
      <c r="F253" s="162">
        <v>9034</v>
      </c>
      <c r="G253" s="162">
        <v>9277</v>
      </c>
      <c r="H253" s="162">
        <v>9460</v>
      </c>
    </row>
    <row r="254" spans="3:11" ht="36.75" thickBot="1" x14ac:dyDescent="0.3">
      <c r="C254" s="160" t="s">
        <v>214</v>
      </c>
      <c r="D254" s="161">
        <v>3.62</v>
      </c>
      <c r="E254" s="161">
        <v>3.86</v>
      </c>
      <c r="F254" s="161">
        <v>4.05</v>
      </c>
      <c r="G254" s="161">
        <v>4.17</v>
      </c>
      <c r="H254" s="161">
        <v>4.25</v>
      </c>
    </row>
    <row r="255" spans="3:11" ht="15.75" thickBot="1" x14ac:dyDescent="0.3">
      <c r="C255" s="160" t="s">
        <v>215</v>
      </c>
      <c r="D255" s="162">
        <v>3252</v>
      </c>
      <c r="E255" s="162">
        <v>3204</v>
      </c>
      <c r="F255" s="162">
        <v>3118</v>
      </c>
      <c r="G255" s="162">
        <v>3013</v>
      </c>
      <c r="H255" s="162">
        <v>2907</v>
      </c>
    </row>
    <row r="256" spans="3:11" ht="24.75" thickBot="1" x14ac:dyDescent="0.3">
      <c r="C256" s="160" t="s">
        <v>216</v>
      </c>
      <c r="D256" s="161">
        <v>1.33</v>
      </c>
      <c r="E256" s="161">
        <v>1.3</v>
      </c>
      <c r="F256" s="161">
        <v>1.3</v>
      </c>
      <c r="G256" s="161">
        <v>1.3</v>
      </c>
      <c r="H256" s="161">
        <v>1.3</v>
      </c>
    </row>
    <row r="257" spans="3:8" ht="36.75" thickBot="1" x14ac:dyDescent="0.3">
      <c r="C257" s="160" t="s">
        <v>217</v>
      </c>
      <c r="D257" s="161">
        <v>99.2</v>
      </c>
      <c r="E257" s="161">
        <v>109</v>
      </c>
      <c r="F257" s="161">
        <v>116</v>
      </c>
      <c r="G257" s="161">
        <v>156</v>
      </c>
      <c r="H257" s="161">
        <v>197</v>
      </c>
    </row>
    <row r="258" spans="3:8" ht="36.75" thickBot="1" x14ac:dyDescent="0.3">
      <c r="C258" s="160" t="s">
        <v>218</v>
      </c>
      <c r="D258" s="161">
        <v>78.099999999999994</v>
      </c>
      <c r="E258" s="161">
        <v>148</v>
      </c>
      <c r="F258" s="161">
        <v>212</v>
      </c>
      <c r="G258" s="161">
        <v>267</v>
      </c>
      <c r="H258" s="161">
        <v>335</v>
      </c>
    </row>
    <row r="259" spans="3:8" ht="36.75" thickBot="1" x14ac:dyDescent="0.3">
      <c r="C259" s="160" t="s">
        <v>219</v>
      </c>
      <c r="D259" s="161">
        <v>78.099999999999994</v>
      </c>
      <c r="E259" s="161">
        <v>118</v>
      </c>
      <c r="F259" s="161">
        <v>135</v>
      </c>
      <c r="G259" s="161">
        <v>139</v>
      </c>
      <c r="H259" s="161">
        <v>143</v>
      </c>
    </row>
    <row r="260" spans="3:8" ht="36.75" thickBot="1" x14ac:dyDescent="0.3">
      <c r="C260" s="160" t="s">
        <v>220</v>
      </c>
      <c r="D260" s="161">
        <v>7.1</v>
      </c>
      <c r="E260" s="161">
        <v>10.4</v>
      </c>
      <c r="F260" s="161">
        <v>11.9</v>
      </c>
      <c r="G260" s="161">
        <v>13.1</v>
      </c>
      <c r="H260" s="161">
        <v>14.3</v>
      </c>
    </row>
    <row r="261" spans="3:8" ht="48.75" thickBot="1" x14ac:dyDescent="0.3">
      <c r="C261" s="160" t="s">
        <v>221</v>
      </c>
      <c r="D261" s="161">
        <v>13</v>
      </c>
      <c r="E261" s="161">
        <v>20</v>
      </c>
      <c r="F261" s="161">
        <v>30</v>
      </c>
      <c r="G261" s="161">
        <v>78</v>
      </c>
      <c r="H261" s="161">
        <v>100</v>
      </c>
    </row>
    <row r="262" spans="3:8" ht="48" x14ac:dyDescent="0.25">
      <c r="C262" s="163" t="s">
        <v>222</v>
      </c>
      <c r="D262" s="164">
        <v>13</v>
      </c>
      <c r="E262" s="164">
        <v>20</v>
      </c>
      <c r="F262" s="164">
        <v>35</v>
      </c>
      <c r="G262" s="164">
        <v>87</v>
      </c>
      <c r="H262" s="164">
        <v>162</v>
      </c>
    </row>
    <row r="271" spans="3:8" x14ac:dyDescent="0.25">
      <c r="D271" s="89">
        <v>2008</v>
      </c>
      <c r="F271" s="89">
        <v>2016</v>
      </c>
      <c r="H271" s="89">
        <v>2036</v>
      </c>
    </row>
    <row r="273" spans="3:16" x14ac:dyDescent="0.25">
      <c r="E273" s="90" t="s">
        <v>202</v>
      </c>
      <c r="J273" s="90" t="s">
        <v>136</v>
      </c>
    </row>
    <row r="274" spans="3:16" x14ac:dyDescent="0.25">
      <c r="E274" s="117">
        <v>2010</v>
      </c>
      <c r="F274" s="117">
        <v>2030</v>
      </c>
      <c r="G274" s="117">
        <v>2050</v>
      </c>
    </row>
    <row r="275" spans="3:16" x14ac:dyDescent="0.25">
      <c r="C275" s="89" t="s">
        <v>223</v>
      </c>
      <c r="E275" s="89">
        <v>8382000</v>
      </c>
      <c r="F275" s="89">
        <v>9034000</v>
      </c>
      <c r="G275" s="89">
        <v>9460000</v>
      </c>
      <c r="O275" s="90" t="s">
        <v>224</v>
      </c>
    </row>
    <row r="276" spans="3:16" x14ac:dyDescent="0.25">
      <c r="C276" s="89" t="s">
        <v>204</v>
      </c>
      <c r="E276" s="89">
        <v>3620000</v>
      </c>
      <c r="F276" s="89">
        <v>4050000</v>
      </c>
      <c r="G276" s="89">
        <v>4250000</v>
      </c>
      <c r="J276" s="90" t="s">
        <v>92</v>
      </c>
      <c r="K276" s="89">
        <v>2005</v>
      </c>
      <c r="L276" s="89">
        <v>2013</v>
      </c>
      <c r="M276" s="89">
        <v>2030</v>
      </c>
      <c r="N276" s="89">
        <v>2050</v>
      </c>
      <c r="O276" s="90" t="s">
        <v>225</v>
      </c>
    </row>
    <row r="277" spans="3:16" x14ac:dyDescent="0.25">
      <c r="C277" s="117" t="s">
        <v>226</v>
      </c>
    </row>
    <row r="278" spans="3:16" x14ac:dyDescent="0.25">
      <c r="C278" s="89" t="s">
        <v>34</v>
      </c>
      <c r="D278" s="89" t="s">
        <v>92</v>
      </c>
      <c r="E278" s="89">
        <f>[3]Quellen!C43</f>
        <v>391</v>
      </c>
      <c r="F278" s="89">
        <f>[3]Quellen!D43</f>
        <v>276</v>
      </c>
      <c r="G278" s="89">
        <f>[3]Quellen!E43</f>
        <v>147</v>
      </c>
      <c r="J278" s="165" t="s">
        <v>34</v>
      </c>
      <c r="K278" s="166">
        <v>379</v>
      </c>
      <c r="L278" s="166">
        <v>370</v>
      </c>
      <c r="M278" s="166">
        <v>170</v>
      </c>
      <c r="N278" s="166">
        <v>99</v>
      </c>
      <c r="O278" s="166">
        <f t="shared" ref="O278:O283" si="19">G278-N278</f>
        <v>48</v>
      </c>
      <c r="P278" s="167">
        <v>-0.74</v>
      </c>
    </row>
    <row r="279" spans="3:16" x14ac:dyDescent="0.25">
      <c r="C279" s="89" t="s">
        <v>16</v>
      </c>
      <c r="D279" s="89" t="s">
        <v>92</v>
      </c>
      <c r="E279" s="89">
        <f>[3]Quellen!C44</f>
        <v>315</v>
      </c>
      <c r="F279" s="89">
        <f>[3]Quellen!D44</f>
        <v>320</v>
      </c>
      <c r="G279" s="89">
        <f>[3]Quellen!E44</f>
        <v>273</v>
      </c>
      <c r="J279" s="165" t="s">
        <v>227</v>
      </c>
      <c r="K279" s="166">
        <v>303</v>
      </c>
      <c r="L279" s="166">
        <v>336</v>
      </c>
      <c r="M279" s="166">
        <v>305</v>
      </c>
      <c r="N279" s="166">
        <v>262</v>
      </c>
      <c r="O279" s="166">
        <f t="shared" si="19"/>
        <v>11</v>
      </c>
      <c r="P279" s="167">
        <v>-0.14000000000000001</v>
      </c>
    </row>
    <row r="280" spans="3:16" ht="24" x14ac:dyDescent="0.25">
      <c r="C280" s="89" t="s">
        <v>163</v>
      </c>
      <c r="D280" s="89" t="s">
        <v>92</v>
      </c>
      <c r="E280" s="89">
        <f>[3]Quellen!C45</f>
        <v>287</v>
      </c>
      <c r="F280" s="89">
        <f>[3]Quellen!D45</f>
        <v>202</v>
      </c>
      <c r="G280" s="89">
        <f>[3]Quellen!E45</f>
        <v>140</v>
      </c>
      <c r="J280" s="165" t="s">
        <v>228</v>
      </c>
      <c r="K280" s="166">
        <v>281</v>
      </c>
      <c r="L280" s="166">
        <v>278</v>
      </c>
      <c r="M280" s="166">
        <v>196</v>
      </c>
      <c r="N280" s="166">
        <v>138</v>
      </c>
      <c r="O280" s="166">
        <f t="shared" si="19"/>
        <v>2</v>
      </c>
      <c r="P280" s="167">
        <v>-0.51</v>
      </c>
    </row>
    <row r="281" spans="3:16" ht="24" x14ac:dyDescent="0.25">
      <c r="C281" s="89" t="s">
        <v>164</v>
      </c>
      <c r="D281" s="89" t="s">
        <v>92</v>
      </c>
      <c r="E281" s="89">
        <f>[3]Quellen!C46</f>
        <v>131</v>
      </c>
      <c r="F281" s="89">
        <f>[3]Quellen!D46</f>
        <v>102</v>
      </c>
      <c r="G281" s="89">
        <f>[3]Quellen!E46</f>
        <v>66</v>
      </c>
      <c r="J281" s="165" t="s">
        <v>164</v>
      </c>
      <c r="K281" s="166">
        <v>125</v>
      </c>
      <c r="L281" s="166">
        <v>111</v>
      </c>
      <c r="M281" s="166">
        <v>95</v>
      </c>
      <c r="N281" s="166">
        <v>70</v>
      </c>
      <c r="O281" s="166">
        <f t="shared" si="19"/>
        <v>-4</v>
      </c>
      <c r="P281" s="167">
        <v>-0.44</v>
      </c>
    </row>
    <row r="282" spans="3:16" ht="24" x14ac:dyDescent="0.25">
      <c r="C282" s="89" t="s">
        <v>167</v>
      </c>
      <c r="D282" s="89" t="s">
        <v>92</v>
      </c>
      <c r="E282" s="89">
        <f>[3]Quellen!C47</f>
        <v>14</v>
      </c>
      <c r="F282" s="89">
        <f>[3]Quellen!D47</f>
        <v>12</v>
      </c>
      <c r="G282" s="89">
        <f>[3]Quellen!E47</f>
        <v>11</v>
      </c>
      <c r="J282" s="165" t="s">
        <v>167</v>
      </c>
      <c r="K282" s="166">
        <v>23</v>
      </c>
      <c r="L282" s="166">
        <v>24</v>
      </c>
      <c r="M282" s="166">
        <v>23</v>
      </c>
      <c r="N282" s="166">
        <v>22</v>
      </c>
      <c r="O282" s="166">
        <f t="shared" si="19"/>
        <v>-11</v>
      </c>
      <c r="P282" s="167">
        <v>-0.05</v>
      </c>
    </row>
    <row r="283" spans="3:16" x14ac:dyDescent="0.25">
      <c r="C283" s="89" t="s">
        <v>229</v>
      </c>
      <c r="D283" s="89" t="s">
        <v>92</v>
      </c>
      <c r="E283" s="117">
        <f>[3]Quellen!C48</f>
        <v>1138</v>
      </c>
      <c r="F283" s="117">
        <f>[3]Quellen!D48</f>
        <v>912</v>
      </c>
      <c r="G283" s="117">
        <f>[3]Quellen!E48</f>
        <v>637</v>
      </c>
      <c r="J283" s="165" t="s">
        <v>9</v>
      </c>
      <c r="K283" s="168" t="s">
        <v>230</v>
      </c>
      <c r="L283" s="168" t="s">
        <v>231</v>
      </c>
      <c r="M283" s="168">
        <v>789</v>
      </c>
      <c r="N283" s="168">
        <v>591</v>
      </c>
      <c r="O283" s="168">
        <f t="shared" si="19"/>
        <v>46</v>
      </c>
      <c r="P283" s="169">
        <v>-0.47</v>
      </c>
    </row>
    <row r="284" spans="3:16" x14ac:dyDescent="0.25">
      <c r="C284" s="117" t="s">
        <v>232</v>
      </c>
      <c r="E284" s="89">
        <f>SUM(E280:E281)</f>
        <v>418</v>
      </c>
    </row>
    <row r="285" spans="3:16" x14ac:dyDescent="0.25">
      <c r="C285" s="89" t="s">
        <v>233</v>
      </c>
      <c r="E285" s="89">
        <v>878</v>
      </c>
      <c r="F285" s="89">
        <v>766</v>
      </c>
      <c r="G285" s="89">
        <v>465</v>
      </c>
    </row>
    <row r="286" spans="3:16" x14ac:dyDescent="0.25">
      <c r="C286" s="89" t="s">
        <v>234</v>
      </c>
      <c r="E286" s="89">
        <v>766</v>
      </c>
      <c r="F286" s="89">
        <v>698</v>
      </c>
      <c r="G286" s="89">
        <v>425</v>
      </c>
    </row>
    <row r="287" spans="3:16" x14ac:dyDescent="0.25">
      <c r="C287" s="89" t="s">
        <v>52</v>
      </c>
      <c r="E287" s="89">
        <f t="shared" ref="E287:F287" si="20">E285-E286</f>
        <v>112</v>
      </c>
      <c r="F287" s="89">
        <f t="shared" si="20"/>
        <v>68</v>
      </c>
      <c r="G287" s="89">
        <f>G285-G286</f>
        <v>40</v>
      </c>
    </row>
    <row r="288" spans="3:16" x14ac:dyDescent="0.25">
      <c r="C288" s="89" t="s">
        <v>235</v>
      </c>
      <c r="E288" s="89">
        <v>123</v>
      </c>
      <c r="F288" s="89">
        <v>105</v>
      </c>
      <c r="G288" s="89">
        <v>90</v>
      </c>
    </row>
    <row r="289" spans="3:14" x14ac:dyDescent="0.25">
      <c r="C289" s="89" t="s">
        <v>236</v>
      </c>
      <c r="E289" s="89">
        <v>20</v>
      </c>
      <c r="F289" s="89">
        <v>24</v>
      </c>
      <c r="G289" s="89">
        <v>27</v>
      </c>
    </row>
    <row r="290" spans="3:14" x14ac:dyDescent="0.25">
      <c r="C290" s="89" t="s">
        <v>237</v>
      </c>
      <c r="E290" s="89">
        <v>74</v>
      </c>
      <c r="F290" s="89">
        <v>71</v>
      </c>
      <c r="G290" s="89">
        <v>58</v>
      </c>
    </row>
    <row r="291" spans="3:14" x14ac:dyDescent="0.25">
      <c r="C291" s="89" t="s">
        <v>238</v>
      </c>
      <c r="E291" s="89">
        <v>1138</v>
      </c>
      <c r="F291" s="89">
        <v>912</v>
      </c>
      <c r="G291" s="89">
        <v>637</v>
      </c>
    </row>
    <row r="292" spans="3:14" x14ac:dyDescent="0.25">
      <c r="C292" s="89" t="s">
        <v>137</v>
      </c>
      <c r="E292" s="117">
        <v>1467</v>
      </c>
      <c r="F292" s="117">
        <v>1179</v>
      </c>
      <c r="G292" s="117">
        <v>853</v>
      </c>
    </row>
    <row r="293" spans="3:14" x14ac:dyDescent="0.25">
      <c r="E293" s="89">
        <f t="shared" ref="E293:F293" si="21">SUM(E287:E291)</f>
        <v>1467</v>
      </c>
      <c r="F293" s="89">
        <f t="shared" si="21"/>
        <v>1180</v>
      </c>
      <c r="G293" s="89">
        <f>SUM(G287:G291)</f>
        <v>852</v>
      </c>
    </row>
    <row r="296" spans="3:14" x14ac:dyDescent="0.25">
      <c r="J296" s="90" t="s">
        <v>239</v>
      </c>
    </row>
    <row r="297" spans="3:14" x14ac:dyDescent="0.25">
      <c r="C297" s="117" t="s">
        <v>240</v>
      </c>
      <c r="K297" s="89">
        <f>K276</f>
        <v>2005</v>
      </c>
      <c r="L297" s="89">
        <f t="shared" ref="L297:N297" si="22">L276</f>
        <v>2013</v>
      </c>
      <c r="M297" s="89">
        <f t="shared" si="22"/>
        <v>2030</v>
      </c>
      <c r="N297" s="89">
        <f t="shared" si="22"/>
        <v>2050</v>
      </c>
    </row>
    <row r="298" spans="3:14" x14ac:dyDescent="0.25">
      <c r="C298" s="89" t="str">
        <f>[3]Quellen!C29</f>
        <v xml:space="preserve">Kohle </v>
      </c>
      <c r="D298" s="89" t="s">
        <v>92</v>
      </c>
      <c r="E298" s="89">
        <f>[3]Quellen!D29</f>
        <v>143</v>
      </c>
      <c r="F298" s="89">
        <f>[3]Quellen!I29</f>
        <v>46</v>
      </c>
      <c r="G298" s="89">
        <f>[3]Quellen!J29</f>
        <v>1</v>
      </c>
      <c r="J298" s="89" t="s">
        <v>0</v>
      </c>
      <c r="K298" s="166">
        <v>132</v>
      </c>
      <c r="L298" s="166">
        <v>151</v>
      </c>
      <c r="M298" s="166">
        <v>155</v>
      </c>
      <c r="N298" s="168">
        <v>155</v>
      </c>
    </row>
    <row r="299" spans="3:14" x14ac:dyDescent="0.25">
      <c r="C299" s="89" t="str">
        <f>[3]Quellen!C30</f>
        <v xml:space="preserve">Öl </v>
      </c>
      <c r="D299" s="89" t="s">
        <v>92</v>
      </c>
      <c r="E299" s="89">
        <f>[3]Quellen!D30</f>
        <v>549</v>
      </c>
      <c r="F299" s="89">
        <f>[3]Quellen!I30</f>
        <v>308</v>
      </c>
      <c r="G299" s="89">
        <f>[3]Quellen!J30</f>
        <v>82</v>
      </c>
      <c r="J299" s="89" t="s">
        <v>138</v>
      </c>
      <c r="K299" s="166">
        <v>5</v>
      </c>
      <c r="L299" s="166">
        <v>11</v>
      </c>
      <c r="M299" s="166">
        <v>43</v>
      </c>
      <c r="N299" s="168">
        <v>43</v>
      </c>
    </row>
    <row r="300" spans="3:14" x14ac:dyDescent="0.25">
      <c r="C300" s="89" t="str">
        <f>[3]Quellen!C31</f>
        <v xml:space="preserve">Gas </v>
      </c>
      <c r="D300" s="89" t="s">
        <v>92</v>
      </c>
      <c r="E300" s="89">
        <f>[3]Quellen!D31</f>
        <v>344</v>
      </c>
      <c r="F300" s="89">
        <f>[3]Quellen!I31</f>
        <v>217</v>
      </c>
      <c r="G300" s="89">
        <f>[3]Quellen!J31</f>
        <v>135</v>
      </c>
      <c r="J300" s="89" t="s">
        <v>1</v>
      </c>
      <c r="K300" s="166">
        <v>0</v>
      </c>
      <c r="L300" s="166">
        <v>2</v>
      </c>
      <c r="M300" s="166">
        <v>46</v>
      </c>
      <c r="N300" s="168">
        <v>108</v>
      </c>
    </row>
    <row r="301" spans="3:14" x14ac:dyDescent="0.25">
      <c r="C301" s="89" t="str">
        <f>[3]Quellen!C32</f>
        <v xml:space="preserve">Abfälle </v>
      </c>
      <c r="D301" s="89" t="s">
        <v>92</v>
      </c>
      <c r="E301" s="89">
        <f>[3]Quellen!D32</f>
        <v>28</v>
      </c>
      <c r="F301" s="89">
        <f>[3]Quellen!I32</f>
        <v>28</v>
      </c>
      <c r="G301" s="89">
        <f>[3]Quellen!J32</f>
        <v>24</v>
      </c>
      <c r="J301" s="89" t="s">
        <v>139</v>
      </c>
      <c r="K301" s="166">
        <v>159</v>
      </c>
      <c r="L301" s="166">
        <v>245</v>
      </c>
      <c r="M301" s="166">
        <v>259</v>
      </c>
      <c r="N301" s="166">
        <v>284</v>
      </c>
    </row>
    <row r="302" spans="3:14" x14ac:dyDescent="0.25">
      <c r="C302" s="89" t="str">
        <f>[3]Quellen!C33</f>
        <v xml:space="preserve">Biomasse </v>
      </c>
      <c r="D302" s="89" t="s">
        <v>92</v>
      </c>
      <c r="E302" s="89">
        <f>[3]Quellen!D33</f>
        <v>237</v>
      </c>
      <c r="F302" s="89">
        <f>[3]Quellen!I33</f>
        <v>319</v>
      </c>
      <c r="G302" s="89">
        <f>[3]Quellen!J33</f>
        <v>282</v>
      </c>
      <c r="J302" s="89" t="s">
        <v>3</v>
      </c>
      <c r="K302" s="166">
        <v>4</v>
      </c>
      <c r="L302" s="166">
        <v>7</v>
      </c>
      <c r="M302" s="166">
        <v>45</v>
      </c>
      <c r="N302" s="166">
        <v>64</v>
      </c>
    </row>
    <row r="303" spans="3:14" x14ac:dyDescent="0.25">
      <c r="C303" s="89" t="str">
        <f>[3]Quellen!C34</f>
        <v xml:space="preserve">Umgebungswärme etc. </v>
      </c>
      <c r="D303" s="89" t="s">
        <v>92</v>
      </c>
      <c r="E303" s="89">
        <f>[3]Quellen!D34</f>
        <v>13</v>
      </c>
      <c r="F303" s="89">
        <f>[3]Quellen!I34</f>
        <v>41</v>
      </c>
      <c r="G303" s="89">
        <f>[3]Quellen!J34</f>
        <v>54</v>
      </c>
      <c r="J303" s="89" t="s">
        <v>198</v>
      </c>
      <c r="K303" s="166">
        <v>3</v>
      </c>
      <c r="L303" s="166">
        <v>8</v>
      </c>
      <c r="M303" s="166">
        <v>41</v>
      </c>
      <c r="N303" s="166">
        <v>56</v>
      </c>
    </row>
    <row r="304" spans="3:14" x14ac:dyDescent="0.25">
      <c r="C304" s="89" t="str">
        <f>[3]Quellen!C35</f>
        <v xml:space="preserve">Elektrische Energie </v>
      </c>
      <c r="D304" s="89" t="s">
        <v>92</v>
      </c>
      <c r="E304" s="89">
        <f>[3]Quellen!D35</f>
        <v>8</v>
      </c>
      <c r="F304" s="89">
        <f>[3]Quellen!I35</f>
        <v>-51</v>
      </c>
      <c r="G304" s="89">
        <f>[3]Quellen!J35</f>
        <v>-71</v>
      </c>
      <c r="H304" s="89" t="s">
        <v>241</v>
      </c>
      <c r="J304" s="89" t="s">
        <v>143</v>
      </c>
      <c r="K304" s="166">
        <v>0</v>
      </c>
      <c r="L304" s="166">
        <v>0</v>
      </c>
      <c r="M304" s="166">
        <v>0</v>
      </c>
      <c r="N304" s="166">
        <v>55</v>
      </c>
    </row>
    <row r="305" spans="2:14" x14ac:dyDescent="0.25">
      <c r="C305" s="89" t="str">
        <f>[3]Quellen!C36</f>
        <v xml:space="preserve">Wasserkraft </v>
      </c>
      <c r="D305" s="89" t="s">
        <v>92</v>
      </c>
      <c r="E305" s="89">
        <f>[3]Quellen!D36</f>
        <v>138</v>
      </c>
      <c r="F305" s="89">
        <f>[3]Quellen!I36</f>
        <v>154</v>
      </c>
      <c r="G305" s="117">
        <f>[3]Quellen!J36</f>
        <v>163</v>
      </c>
      <c r="J305" s="89" t="s">
        <v>74</v>
      </c>
      <c r="K305" s="166">
        <v>342</v>
      </c>
      <c r="L305" s="166">
        <v>294</v>
      </c>
      <c r="M305" s="166">
        <v>94</v>
      </c>
      <c r="N305" s="166">
        <v>0</v>
      </c>
    </row>
    <row r="306" spans="2:14" x14ac:dyDescent="0.25">
      <c r="C306" s="89" t="str">
        <f>[3]Quellen!C37</f>
        <v xml:space="preserve">Wind </v>
      </c>
      <c r="D306" s="89" t="s">
        <v>92</v>
      </c>
      <c r="E306" s="89">
        <f>[3]Quellen!D37</f>
        <v>7</v>
      </c>
      <c r="F306" s="89">
        <f>[3]Quellen!I37</f>
        <v>63</v>
      </c>
      <c r="G306" s="117">
        <f>[3]Quellen!J37</f>
        <v>76</v>
      </c>
      <c r="J306" s="89" t="s">
        <v>144</v>
      </c>
      <c r="K306" s="166">
        <v>611</v>
      </c>
      <c r="L306" s="166">
        <v>516</v>
      </c>
      <c r="M306" s="166">
        <v>211</v>
      </c>
      <c r="N306" s="166">
        <v>73</v>
      </c>
    </row>
    <row r="307" spans="2:14" x14ac:dyDescent="0.25">
      <c r="C307" s="89" t="str">
        <f>[3]Quellen!C38</f>
        <v xml:space="preserve">Photovoltaik </v>
      </c>
      <c r="D307" s="89" t="s">
        <v>92</v>
      </c>
      <c r="E307" s="89">
        <f>[3]Quellen!D38</f>
        <v>0</v>
      </c>
      <c r="F307" s="89">
        <f>[3]Quellen!I38</f>
        <v>53</v>
      </c>
      <c r="G307" s="117">
        <f>[3]Quellen!J38</f>
        <v>85</v>
      </c>
      <c r="J307" s="89" t="s">
        <v>145</v>
      </c>
      <c r="K307" s="166">
        <v>168</v>
      </c>
      <c r="L307" s="166">
        <v>138</v>
      </c>
      <c r="M307" s="166">
        <v>79</v>
      </c>
      <c r="N307" s="166">
        <v>0</v>
      </c>
    </row>
    <row r="308" spans="2:14" x14ac:dyDescent="0.25">
      <c r="C308" s="89" t="str">
        <f>[3]Quellen!C39</f>
        <v xml:space="preserve">Wasserstoff </v>
      </c>
      <c r="D308" s="89" t="s">
        <v>92</v>
      </c>
      <c r="E308" s="89">
        <f>[3]Quellen!D39</f>
        <v>0</v>
      </c>
      <c r="F308" s="89">
        <f>[3]Quellen!I39</f>
        <v>1</v>
      </c>
      <c r="G308" s="89">
        <f>[3]Quellen!J39</f>
        <v>21</v>
      </c>
      <c r="J308" s="89" t="s">
        <v>146</v>
      </c>
      <c r="K308" s="166">
        <v>16</v>
      </c>
      <c r="L308" s="166">
        <v>27</v>
      </c>
      <c r="M308" s="166">
        <v>27</v>
      </c>
      <c r="N308" s="166">
        <v>27</v>
      </c>
    </row>
    <row r="309" spans="2:14" x14ac:dyDescent="0.25">
      <c r="C309" s="89" t="str">
        <f>[3]Quellen!C40</f>
        <v xml:space="preserve">energetischer Endverbrauch </v>
      </c>
      <c r="D309" s="89" t="s">
        <v>92</v>
      </c>
      <c r="E309" s="117">
        <f>[3]Quellen!D40</f>
        <v>1467</v>
      </c>
      <c r="F309" s="117">
        <f>[3]Quellen!I40</f>
        <v>1179</v>
      </c>
      <c r="G309" s="117">
        <f>[3]Quellen!J40</f>
        <v>853</v>
      </c>
      <c r="J309" s="89" t="s">
        <v>9</v>
      </c>
      <c r="K309" s="168" t="s">
        <v>242</v>
      </c>
      <c r="L309" s="168" t="s">
        <v>243</v>
      </c>
      <c r="M309" s="168" t="s">
        <v>244</v>
      </c>
      <c r="N309" s="168">
        <v>865</v>
      </c>
    </row>
    <row r="310" spans="2:14" x14ac:dyDescent="0.25">
      <c r="E310" s="89" t="s">
        <v>245</v>
      </c>
      <c r="F310" s="89" t="s">
        <v>246</v>
      </c>
      <c r="G310" s="89" t="s">
        <v>247</v>
      </c>
    </row>
    <row r="311" spans="2:14" x14ac:dyDescent="0.25">
      <c r="C311" s="89" t="str">
        <f>[3]Quellen!B60</f>
        <v xml:space="preserve">Bioenergie </v>
      </c>
      <c r="D311" s="89" t="s">
        <v>92</v>
      </c>
      <c r="E311" s="89">
        <f>[3]Quellen!C60</f>
        <v>340</v>
      </c>
      <c r="F311" s="89">
        <f>[3]Quellen!D60</f>
        <v>319</v>
      </c>
      <c r="G311" s="89">
        <f>[3]Quellen!E60</f>
        <v>282</v>
      </c>
    </row>
    <row r="312" spans="2:14" x14ac:dyDescent="0.25">
      <c r="C312" s="89" t="str">
        <f>[3]Quellen!B61</f>
        <v xml:space="preserve">Wasserkraft </v>
      </c>
      <c r="D312" s="89" t="s">
        <v>92</v>
      </c>
      <c r="E312" s="89">
        <f>[3]Quellen!C61</f>
        <v>195</v>
      </c>
      <c r="F312" s="89">
        <f>[3]Quellen!D61</f>
        <v>154</v>
      </c>
      <c r="G312" s="89">
        <f>[3]Quellen!E61</f>
        <v>163</v>
      </c>
    </row>
    <row r="313" spans="2:14" x14ac:dyDescent="0.25">
      <c r="C313" s="89" t="str">
        <f>[3]Quellen!B62</f>
        <v xml:space="preserve">Wind </v>
      </c>
      <c r="D313" s="89" t="s">
        <v>92</v>
      </c>
      <c r="E313" s="89">
        <f>[3]Quellen!C62</f>
        <v>63</v>
      </c>
      <c r="F313" s="89">
        <f>[3]Quellen!D62</f>
        <v>63</v>
      </c>
      <c r="G313" s="89">
        <f>[3]Quellen!E62</f>
        <v>76</v>
      </c>
    </row>
    <row r="314" spans="2:14" x14ac:dyDescent="0.25">
      <c r="C314" s="89" t="str">
        <f>[3]Quellen!B63</f>
        <v xml:space="preserve">Umgebungswärme etc. </v>
      </c>
      <c r="D314" s="89" t="s">
        <v>92</v>
      </c>
      <c r="E314" s="89">
        <f>[3]Quellen!C63</f>
        <v>22</v>
      </c>
      <c r="F314" s="89">
        <f>[3]Quellen!D63</f>
        <v>41</v>
      </c>
      <c r="G314" s="89">
        <f>[3]Quellen!E63</f>
        <v>54</v>
      </c>
    </row>
    <row r="315" spans="2:14" x14ac:dyDescent="0.25">
      <c r="C315" s="89" t="str">
        <f>[3]Quellen!B64</f>
        <v xml:space="preserve">Solarthermie </v>
      </c>
      <c r="D315" s="89" t="s">
        <v>92</v>
      </c>
      <c r="E315" s="89">
        <f>[3]Quellen!C64</f>
        <v>27</v>
      </c>
      <c r="F315" s="89">
        <f>[3]Quellen!D64</f>
        <v>27</v>
      </c>
      <c r="G315" s="89">
        <f>[3]Quellen!E64</f>
        <v>0</v>
      </c>
    </row>
    <row r="316" spans="2:14" x14ac:dyDescent="0.25">
      <c r="C316" s="89" t="str">
        <f>[3]Quellen!B65</f>
        <v xml:space="preserve">Photovoltaik </v>
      </c>
      <c r="D316" s="89" t="s">
        <v>92</v>
      </c>
      <c r="E316" s="89">
        <f>[3]Quellen!C65</f>
        <v>67</v>
      </c>
      <c r="F316" s="89">
        <f>[3]Quellen!D65</f>
        <v>53</v>
      </c>
      <c r="G316" s="89">
        <f>[3]Quellen!E65</f>
        <v>85</v>
      </c>
    </row>
    <row r="317" spans="2:14" ht="18.75" x14ac:dyDescent="0.25">
      <c r="C317" s="89" t="str">
        <f>[3]Quellen!B66</f>
        <v xml:space="preserve">Summe </v>
      </c>
      <c r="E317" s="89" t="str">
        <f>[3]Quellen!C66</f>
        <v xml:space="preserve">714 bzw. 781 </v>
      </c>
      <c r="F317" s="89">
        <f>[3]Quellen!D66</f>
        <v>629</v>
      </c>
      <c r="G317" s="89">
        <f>[3]Quellen!E66</f>
        <v>659</v>
      </c>
      <c r="J317" s="170" t="s">
        <v>248</v>
      </c>
    </row>
    <row r="318" spans="2:14" x14ac:dyDescent="0.25">
      <c r="B318" s="89" t="s">
        <v>249</v>
      </c>
      <c r="J318" s="117" t="s">
        <v>250</v>
      </c>
    </row>
    <row r="319" spans="2:14" x14ac:dyDescent="0.25">
      <c r="C319" s="117" t="s">
        <v>16</v>
      </c>
      <c r="J319" s="90" t="s">
        <v>92</v>
      </c>
      <c r="K319" s="89">
        <f>K276</f>
        <v>2005</v>
      </c>
      <c r="L319" s="89">
        <f t="shared" ref="L319:N319" si="23">L276</f>
        <v>2013</v>
      </c>
      <c r="M319" s="89">
        <f t="shared" si="23"/>
        <v>2030</v>
      </c>
      <c r="N319" s="89">
        <f t="shared" si="23"/>
        <v>2050</v>
      </c>
    </row>
    <row r="320" spans="2:14" x14ac:dyDescent="0.25">
      <c r="C320" s="89" t="s">
        <v>145</v>
      </c>
      <c r="D320" s="89" t="s">
        <v>92</v>
      </c>
      <c r="E320" s="89">
        <v>19.3</v>
      </c>
      <c r="F320" s="89">
        <v>10.6</v>
      </c>
      <c r="G320" s="89">
        <v>1.2</v>
      </c>
      <c r="J320" s="89" t="s">
        <v>159</v>
      </c>
      <c r="K320" s="166">
        <v>208</v>
      </c>
      <c r="L320" s="166">
        <v>224</v>
      </c>
      <c r="M320" s="166">
        <v>238</v>
      </c>
      <c r="N320" s="166">
        <v>252</v>
      </c>
    </row>
    <row r="321" spans="3:14" x14ac:dyDescent="0.25">
      <c r="C321" s="89" t="s">
        <v>144</v>
      </c>
      <c r="D321" s="89" t="s">
        <v>92</v>
      </c>
      <c r="E321" s="89">
        <v>16.2</v>
      </c>
      <c r="F321" s="89">
        <v>5.9</v>
      </c>
      <c r="G321" s="89">
        <v>1.3</v>
      </c>
      <c r="J321" s="89" t="s">
        <v>251</v>
      </c>
      <c r="K321" s="166">
        <v>127</v>
      </c>
      <c r="L321" s="166">
        <v>179</v>
      </c>
      <c r="M321" s="166">
        <v>120</v>
      </c>
      <c r="N321" s="166">
        <v>80</v>
      </c>
    </row>
    <row r="322" spans="3:14" x14ac:dyDescent="0.25">
      <c r="C322" s="89" t="s">
        <v>14</v>
      </c>
      <c r="D322" s="89" t="s">
        <v>92</v>
      </c>
      <c r="E322" s="89">
        <v>105.7</v>
      </c>
      <c r="F322" s="89">
        <v>91.1</v>
      </c>
      <c r="G322" s="89">
        <v>58.4</v>
      </c>
      <c r="J322" s="89" t="s">
        <v>3</v>
      </c>
      <c r="K322" s="166">
        <v>4</v>
      </c>
      <c r="L322" s="166">
        <v>7</v>
      </c>
      <c r="M322" s="166">
        <v>45</v>
      </c>
      <c r="N322" s="166">
        <v>64</v>
      </c>
    </row>
    <row r="323" spans="3:14" x14ac:dyDescent="0.25">
      <c r="C323" s="89" t="s">
        <v>5</v>
      </c>
      <c r="D323" s="89" t="s">
        <v>92</v>
      </c>
      <c r="E323" s="89">
        <v>52.5</v>
      </c>
      <c r="F323" s="89">
        <v>78.8</v>
      </c>
      <c r="G323" s="89">
        <v>72.900000000000006</v>
      </c>
      <c r="J323" s="89" t="s">
        <v>252</v>
      </c>
      <c r="K323" s="166">
        <v>3</v>
      </c>
      <c r="L323" s="166">
        <v>7</v>
      </c>
      <c r="M323" s="166">
        <v>29</v>
      </c>
      <c r="N323" s="166">
        <v>40</v>
      </c>
    </row>
    <row r="324" spans="3:14" x14ac:dyDescent="0.25">
      <c r="C324" s="89" t="s">
        <v>253</v>
      </c>
      <c r="D324" s="89" t="s">
        <v>92</v>
      </c>
      <c r="E324" s="89">
        <v>13.8</v>
      </c>
      <c r="F324" s="89">
        <v>13.8</v>
      </c>
      <c r="G324" s="89">
        <v>10.8</v>
      </c>
      <c r="J324" s="89" t="s">
        <v>254</v>
      </c>
      <c r="K324" s="166">
        <v>0</v>
      </c>
      <c r="L324" s="166">
        <v>0</v>
      </c>
      <c r="M324" s="166">
        <v>34</v>
      </c>
      <c r="N324" s="166">
        <v>56</v>
      </c>
    </row>
    <row r="325" spans="3:14" x14ac:dyDescent="0.25">
      <c r="C325" s="89" t="s">
        <v>12</v>
      </c>
      <c r="D325" s="89" t="s">
        <v>92</v>
      </c>
      <c r="E325" s="89">
        <v>97.3</v>
      </c>
      <c r="F325" s="89">
        <v>101.3</v>
      </c>
      <c r="G325" s="89">
        <v>109.5</v>
      </c>
      <c r="J325" s="89" t="s">
        <v>30</v>
      </c>
      <c r="K325" s="166">
        <v>2</v>
      </c>
      <c r="L325" s="166">
        <v>20</v>
      </c>
      <c r="M325" s="166">
        <v>31</v>
      </c>
      <c r="N325" s="166">
        <v>77</v>
      </c>
    </row>
    <row r="326" spans="3:14" x14ac:dyDescent="0.25">
      <c r="C326" s="89" t="s">
        <v>255</v>
      </c>
      <c r="D326" s="89" t="s">
        <v>92</v>
      </c>
      <c r="E326" s="89">
        <v>10.5</v>
      </c>
      <c r="F326" s="89">
        <v>18.8</v>
      </c>
      <c r="G326" s="89">
        <v>18.899999999999999</v>
      </c>
      <c r="H326" s="89">
        <f>SUM(G320:G326)</f>
        <v>273</v>
      </c>
      <c r="J326" s="89" t="s">
        <v>74</v>
      </c>
      <c r="K326" s="166">
        <v>197</v>
      </c>
      <c r="L326" s="166">
        <v>191</v>
      </c>
      <c r="M326" s="166">
        <v>61</v>
      </c>
      <c r="N326" s="166">
        <v>0</v>
      </c>
    </row>
    <row r="327" spans="3:14" x14ac:dyDescent="0.25">
      <c r="E327" s="89">
        <v>315.3</v>
      </c>
      <c r="F327" s="89">
        <v>320.39999999999998</v>
      </c>
      <c r="G327" s="89">
        <v>272.89999999999998</v>
      </c>
      <c r="J327" s="89" t="s">
        <v>256</v>
      </c>
      <c r="K327" s="166">
        <v>41</v>
      </c>
      <c r="L327" s="166">
        <v>44</v>
      </c>
      <c r="M327" s="166">
        <v>21</v>
      </c>
      <c r="N327" s="166">
        <v>10</v>
      </c>
    </row>
    <row r="328" spans="3:14" x14ac:dyDescent="0.25">
      <c r="C328" s="117" t="s">
        <v>11</v>
      </c>
      <c r="J328" s="89" t="s">
        <v>257</v>
      </c>
      <c r="K328" s="166">
        <v>138</v>
      </c>
      <c r="L328" s="166">
        <v>89</v>
      </c>
      <c r="M328" s="166">
        <v>49</v>
      </c>
      <c r="N328" s="166">
        <v>0</v>
      </c>
    </row>
    <row r="329" spans="3:14" x14ac:dyDescent="0.25">
      <c r="C329" s="89" t="s">
        <v>145</v>
      </c>
      <c r="D329" s="89" t="s">
        <v>92</v>
      </c>
      <c r="E329" s="89">
        <v>2.5</v>
      </c>
      <c r="F329" s="89">
        <v>0.1</v>
      </c>
      <c r="G329" s="89">
        <v>0</v>
      </c>
      <c r="J329" s="89" t="s">
        <v>258</v>
      </c>
      <c r="K329" s="166">
        <v>358</v>
      </c>
      <c r="L329" s="166">
        <v>327</v>
      </c>
      <c r="M329" s="166">
        <v>129</v>
      </c>
      <c r="N329" s="166">
        <v>0</v>
      </c>
    </row>
    <row r="330" spans="3:14" x14ac:dyDescent="0.25">
      <c r="C330" s="89" t="s">
        <v>144</v>
      </c>
      <c r="D330" s="89" t="s">
        <v>92</v>
      </c>
      <c r="E330" s="89">
        <v>66.3</v>
      </c>
      <c r="F330" s="89">
        <v>18.3</v>
      </c>
      <c r="G330" s="89">
        <v>0.4</v>
      </c>
      <c r="J330" s="89" t="s">
        <v>145</v>
      </c>
      <c r="K330" s="166">
        <v>23</v>
      </c>
      <c r="L330" s="166">
        <v>20</v>
      </c>
      <c r="M330" s="166">
        <v>22</v>
      </c>
      <c r="N330" s="166">
        <v>0</v>
      </c>
    </row>
    <row r="331" spans="3:14" x14ac:dyDescent="0.25">
      <c r="C331" s="89" t="s">
        <v>14</v>
      </c>
      <c r="D331" s="89" t="s">
        <v>92</v>
      </c>
      <c r="E331" s="89">
        <v>87.2</v>
      </c>
      <c r="F331" s="89">
        <v>55.1</v>
      </c>
      <c r="G331" s="89">
        <v>10.199999999999999</v>
      </c>
      <c r="J331" s="89" t="s">
        <v>146</v>
      </c>
      <c r="K331" s="166">
        <v>9</v>
      </c>
      <c r="L331" s="166">
        <v>10</v>
      </c>
      <c r="M331" s="166">
        <v>10</v>
      </c>
      <c r="N331" s="166">
        <v>10</v>
      </c>
    </row>
    <row r="332" spans="3:14" x14ac:dyDescent="0.25">
      <c r="C332" s="89" t="s">
        <v>5</v>
      </c>
      <c r="D332" s="89" t="s">
        <v>92</v>
      </c>
      <c r="E332" s="89">
        <v>74</v>
      </c>
      <c r="F332" s="89">
        <v>54.7</v>
      </c>
      <c r="G332" s="89">
        <v>37.299999999999997</v>
      </c>
      <c r="J332" s="165" t="s">
        <v>9</v>
      </c>
      <c r="K332" s="168" t="s">
        <v>230</v>
      </c>
      <c r="L332" s="168" t="s">
        <v>231</v>
      </c>
      <c r="M332" s="168">
        <v>789</v>
      </c>
      <c r="N332" s="168">
        <v>590</v>
      </c>
    </row>
    <row r="333" spans="3:14" x14ac:dyDescent="0.25">
      <c r="C333" s="89" t="s">
        <v>12</v>
      </c>
      <c r="D333" s="89" t="s">
        <v>92</v>
      </c>
      <c r="E333" s="89">
        <v>108.8</v>
      </c>
      <c r="F333" s="89">
        <v>86.7</v>
      </c>
      <c r="G333" s="89">
        <v>73.400000000000006</v>
      </c>
    </row>
    <row r="334" spans="3:14" x14ac:dyDescent="0.25">
      <c r="C334" s="89" t="s">
        <v>255</v>
      </c>
      <c r="D334" s="89" t="s">
        <v>92</v>
      </c>
      <c r="E334" s="89">
        <v>78.8</v>
      </c>
      <c r="F334" s="89">
        <v>89</v>
      </c>
      <c r="G334" s="89">
        <v>84.8</v>
      </c>
    </row>
    <row r="335" spans="3:14" x14ac:dyDescent="0.25">
      <c r="D335" s="89" t="s">
        <v>92</v>
      </c>
      <c r="E335" s="117">
        <v>417.6</v>
      </c>
      <c r="F335" s="117">
        <v>303.89999999999998</v>
      </c>
      <c r="G335" s="117">
        <v>206</v>
      </c>
      <c r="H335" s="89">
        <f>SUM(G329:G334)</f>
        <v>206.10000000000002</v>
      </c>
    </row>
    <row r="336" spans="3:14" x14ac:dyDescent="0.25">
      <c r="C336" s="117" t="s">
        <v>34</v>
      </c>
    </row>
    <row r="337" spans="3:14" x14ac:dyDescent="0.25">
      <c r="C337" s="171" t="s">
        <v>259</v>
      </c>
      <c r="D337" s="89" t="s">
        <v>92</v>
      </c>
      <c r="E337" s="172">
        <v>0</v>
      </c>
      <c r="F337" s="172">
        <v>0</v>
      </c>
      <c r="G337" s="172">
        <v>0</v>
      </c>
    </row>
    <row r="338" spans="3:14" ht="24" x14ac:dyDescent="0.25">
      <c r="C338" s="171" t="s">
        <v>260</v>
      </c>
      <c r="D338" s="89" t="s">
        <v>92</v>
      </c>
      <c r="E338" s="172">
        <v>351</v>
      </c>
      <c r="F338" s="172">
        <v>194.2</v>
      </c>
      <c r="G338" s="172">
        <v>29.4</v>
      </c>
    </row>
    <row r="339" spans="3:14" x14ac:dyDescent="0.25">
      <c r="C339" s="171" t="s">
        <v>188</v>
      </c>
      <c r="D339" s="89" t="s">
        <v>92</v>
      </c>
      <c r="E339" s="172">
        <v>6</v>
      </c>
      <c r="F339" s="172">
        <v>0.7</v>
      </c>
      <c r="G339" s="172">
        <v>0.5</v>
      </c>
    </row>
    <row r="340" spans="3:14" x14ac:dyDescent="0.25">
      <c r="C340" s="171" t="s">
        <v>261</v>
      </c>
      <c r="D340" s="89" t="s">
        <v>92</v>
      </c>
      <c r="E340" s="172">
        <v>21.8</v>
      </c>
      <c r="F340" s="172">
        <v>49.6</v>
      </c>
      <c r="G340" s="172">
        <v>49.6</v>
      </c>
    </row>
    <row r="341" spans="3:14" x14ac:dyDescent="0.25">
      <c r="C341" s="171" t="s">
        <v>194</v>
      </c>
      <c r="D341" s="89" t="s">
        <v>92</v>
      </c>
      <c r="E341" s="172">
        <v>0</v>
      </c>
      <c r="F341" s="172">
        <v>1</v>
      </c>
      <c r="G341" s="172">
        <v>21.2</v>
      </c>
    </row>
    <row r="342" spans="3:14" x14ac:dyDescent="0.25">
      <c r="C342" s="171" t="s">
        <v>12</v>
      </c>
      <c r="E342" s="172">
        <v>12.5</v>
      </c>
      <c r="F342" s="172">
        <v>30.8</v>
      </c>
      <c r="G342" s="172">
        <v>46.5</v>
      </c>
      <c r="H342" s="89">
        <f>SUM(G337:G342)</f>
        <v>147.19999999999999</v>
      </c>
    </row>
    <row r="343" spans="3:14" x14ac:dyDescent="0.25">
      <c r="C343" s="89" t="s">
        <v>262</v>
      </c>
      <c r="E343" s="173">
        <v>391.3</v>
      </c>
      <c r="F343" s="173">
        <v>276.2</v>
      </c>
      <c r="G343" s="173">
        <v>147.19999999999999</v>
      </c>
      <c r="H343" s="89">
        <f>G343+G335+G327</f>
        <v>626.09999999999991</v>
      </c>
    </row>
    <row r="345" spans="3:14" x14ac:dyDescent="0.25">
      <c r="J345" s="89" t="str">
        <f t="shared" ref="J345" si="24">J319</f>
        <v>PJ/a</v>
      </c>
      <c r="K345" s="89">
        <f>K319</f>
        <v>2005</v>
      </c>
      <c r="L345" s="89">
        <f t="shared" ref="L345:N345" si="25">L319</f>
        <v>2013</v>
      </c>
      <c r="M345" s="89">
        <f t="shared" si="25"/>
        <v>2030</v>
      </c>
      <c r="N345" s="89">
        <f t="shared" si="25"/>
        <v>2050</v>
      </c>
    </row>
    <row r="346" spans="3:14" x14ac:dyDescent="0.25">
      <c r="J346" s="165" t="s">
        <v>0</v>
      </c>
      <c r="K346" s="166">
        <v>155</v>
      </c>
      <c r="L346" s="166">
        <v>151</v>
      </c>
      <c r="M346" s="166">
        <v>155</v>
      </c>
      <c r="N346" s="166">
        <v>155</v>
      </c>
    </row>
    <row r="347" spans="3:14" x14ac:dyDescent="0.25">
      <c r="J347" s="165" t="s">
        <v>138</v>
      </c>
      <c r="K347" s="166">
        <v>43</v>
      </c>
      <c r="L347" s="166">
        <v>11</v>
      </c>
      <c r="M347" s="166">
        <v>43</v>
      </c>
      <c r="N347" s="166">
        <v>43</v>
      </c>
    </row>
    <row r="348" spans="3:14" x14ac:dyDescent="0.25">
      <c r="J348" s="165" t="s">
        <v>1</v>
      </c>
      <c r="K348" s="166">
        <v>83</v>
      </c>
      <c r="L348" s="166">
        <v>2</v>
      </c>
      <c r="M348" s="166">
        <v>46</v>
      </c>
      <c r="N348" s="168">
        <v>108</v>
      </c>
    </row>
    <row r="349" spans="3:14" ht="24" x14ac:dyDescent="0.25">
      <c r="J349" s="165" t="s">
        <v>263</v>
      </c>
      <c r="K349" s="166">
        <v>59</v>
      </c>
      <c r="L349" s="166">
        <v>38</v>
      </c>
      <c r="M349" s="166">
        <v>48</v>
      </c>
      <c r="N349" s="166">
        <v>60</v>
      </c>
    </row>
    <row r="350" spans="3:14" ht="24" x14ac:dyDescent="0.25">
      <c r="J350" s="165" t="s">
        <v>264</v>
      </c>
      <c r="K350" s="166">
        <v>183</v>
      </c>
      <c r="L350" s="166">
        <v>167</v>
      </c>
      <c r="M350" s="166">
        <v>170</v>
      </c>
      <c r="N350" s="166">
        <v>183</v>
      </c>
    </row>
    <row r="351" spans="3:14" ht="24" x14ac:dyDescent="0.25">
      <c r="J351" s="165" t="s">
        <v>265</v>
      </c>
      <c r="K351" s="166">
        <v>41</v>
      </c>
      <c r="L351" s="166">
        <v>40</v>
      </c>
      <c r="M351" s="166">
        <v>41</v>
      </c>
      <c r="N351" s="166">
        <v>41</v>
      </c>
    </row>
    <row r="352" spans="3:14" x14ac:dyDescent="0.25">
      <c r="J352" s="165" t="s">
        <v>3</v>
      </c>
      <c r="K352" s="166">
        <v>119</v>
      </c>
      <c r="L352" s="166">
        <v>7</v>
      </c>
      <c r="M352" s="166">
        <v>45</v>
      </c>
      <c r="N352" s="166">
        <v>64</v>
      </c>
    </row>
    <row r="353" spans="10:19" ht="24" x14ac:dyDescent="0.25">
      <c r="J353" s="165" t="s">
        <v>198</v>
      </c>
      <c r="K353" s="166">
        <v>341</v>
      </c>
      <c r="L353" s="166">
        <v>7</v>
      </c>
      <c r="M353" s="166">
        <v>41</v>
      </c>
      <c r="N353" s="166">
        <v>56</v>
      </c>
    </row>
    <row r="355" spans="10:19" x14ac:dyDescent="0.25">
      <c r="K355" s="174" t="s">
        <v>266</v>
      </c>
    </row>
    <row r="356" spans="10:19" ht="45.75" x14ac:dyDescent="0.25">
      <c r="J356" s="170" t="s">
        <v>267</v>
      </c>
    </row>
    <row r="357" spans="10:19" x14ac:dyDescent="0.25">
      <c r="J357" s="175" t="s">
        <v>268</v>
      </c>
      <c r="K357" s="89">
        <v>1990</v>
      </c>
      <c r="L357" s="89">
        <v>2005</v>
      </c>
      <c r="M357" s="89">
        <v>2013</v>
      </c>
      <c r="N357" s="89">
        <v>2030</v>
      </c>
      <c r="O357" s="89">
        <v>2050</v>
      </c>
    </row>
    <row r="358" spans="10:19" x14ac:dyDescent="0.25">
      <c r="J358" s="165" t="s">
        <v>145</v>
      </c>
      <c r="K358" s="166" t="s">
        <v>269</v>
      </c>
      <c r="L358" s="166" t="s">
        <v>270</v>
      </c>
      <c r="M358" s="166" t="s">
        <v>271</v>
      </c>
      <c r="N358" s="166" t="s">
        <v>272</v>
      </c>
      <c r="O358" s="166" t="s">
        <v>273</v>
      </c>
    </row>
    <row r="359" spans="10:19" x14ac:dyDescent="0.25">
      <c r="J359" s="165" t="s">
        <v>144</v>
      </c>
      <c r="K359" s="166" t="s">
        <v>274</v>
      </c>
      <c r="L359" s="166" t="s">
        <v>275</v>
      </c>
      <c r="M359" s="166" t="s">
        <v>276</v>
      </c>
      <c r="N359" s="166" t="s">
        <v>277</v>
      </c>
      <c r="O359" s="166" t="s">
        <v>209</v>
      </c>
    </row>
    <row r="360" spans="10:19" x14ac:dyDescent="0.25">
      <c r="J360" s="165" t="s">
        <v>74</v>
      </c>
      <c r="K360" s="166" t="s">
        <v>278</v>
      </c>
      <c r="L360" s="166" t="s">
        <v>279</v>
      </c>
      <c r="M360" s="166" t="s">
        <v>280</v>
      </c>
      <c r="N360" s="166" t="s">
        <v>281</v>
      </c>
      <c r="O360" s="166" t="s">
        <v>273</v>
      </c>
    </row>
    <row r="361" spans="10:19" x14ac:dyDescent="0.25">
      <c r="J361" s="165" t="s">
        <v>146</v>
      </c>
      <c r="K361" s="166" t="s">
        <v>282</v>
      </c>
      <c r="L361" s="166" t="s">
        <v>283</v>
      </c>
      <c r="M361" s="166" t="s">
        <v>284</v>
      </c>
      <c r="N361" s="166" t="s">
        <v>284</v>
      </c>
      <c r="O361" s="166" t="s">
        <v>284</v>
      </c>
    </row>
    <row r="362" spans="10:19" x14ac:dyDescent="0.25">
      <c r="J362" s="165" t="s">
        <v>9</v>
      </c>
      <c r="K362" s="168" t="s">
        <v>285</v>
      </c>
      <c r="L362" s="168" t="s">
        <v>286</v>
      </c>
      <c r="M362" s="168" t="s">
        <v>287</v>
      </c>
      <c r="N362" s="168" t="s">
        <v>288</v>
      </c>
      <c r="O362" s="168" t="s">
        <v>289</v>
      </c>
    </row>
    <row r="365" spans="10:19" ht="18.75" x14ac:dyDescent="0.25">
      <c r="J365" s="170" t="s">
        <v>290</v>
      </c>
    </row>
    <row r="366" spans="10:19" x14ac:dyDescent="0.25">
      <c r="K366" s="89">
        <v>1990</v>
      </c>
      <c r="L366" s="89">
        <v>2005</v>
      </c>
      <c r="M366" s="89">
        <v>2013</v>
      </c>
      <c r="N366" s="89">
        <v>2030</v>
      </c>
      <c r="O366" s="89">
        <v>2050</v>
      </c>
    </row>
    <row r="367" spans="10:19" x14ac:dyDescent="0.25">
      <c r="J367" s="165" t="s">
        <v>291</v>
      </c>
      <c r="K367" s="166" t="s">
        <v>292</v>
      </c>
      <c r="L367" s="166" t="s">
        <v>293</v>
      </c>
      <c r="M367" s="166" t="s">
        <v>294</v>
      </c>
      <c r="N367" s="166" t="s">
        <v>295</v>
      </c>
      <c r="O367" s="166" t="s">
        <v>296</v>
      </c>
      <c r="P367" s="167">
        <v>-0.59</v>
      </c>
      <c r="Q367" s="167">
        <v>-0.95</v>
      </c>
      <c r="R367" s="167">
        <v>-0.68</v>
      </c>
      <c r="S367" s="167">
        <v>-0.96</v>
      </c>
    </row>
    <row r="368" spans="10:19" ht="24" x14ac:dyDescent="0.25">
      <c r="J368" s="165" t="s">
        <v>297</v>
      </c>
      <c r="K368" s="166" t="s">
        <v>271</v>
      </c>
      <c r="L368" s="166" t="s">
        <v>277</v>
      </c>
      <c r="M368" s="166" t="s">
        <v>298</v>
      </c>
      <c r="N368" s="166" t="s">
        <v>299</v>
      </c>
      <c r="O368" s="166" t="s">
        <v>272</v>
      </c>
      <c r="P368" s="167">
        <v>0.04</v>
      </c>
      <c r="Q368" s="167">
        <v>-0.52</v>
      </c>
      <c r="R368" s="167">
        <v>-0.02</v>
      </c>
      <c r="S368" s="167">
        <v>-0.54</v>
      </c>
    </row>
    <row r="369" spans="1:19" ht="24" x14ac:dyDescent="0.25">
      <c r="J369" s="165" t="s">
        <v>300</v>
      </c>
      <c r="K369" s="166" t="s">
        <v>208</v>
      </c>
      <c r="L369" s="166" t="s">
        <v>301</v>
      </c>
      <c r="M369" s="166" t="s">
        <v>209</v>
      </c>
      <c r="N369" s="166" t="s">
        <v>209</v>
      </c>
      <c r="O369" s="166" t="s">
        <v>302</v>
      </c>
      <c r="P369" s="167">
        <v>-0.41</v>
      </c>
      <c r="Q369" s="167">
        <v>-0.51</v>
      </c>
      <c r="R369" s="167">
        <v>-0.22</v>
      </c>
      <c r="S369" s="167">
        <v>-0.36</v>
      </c>
    </row>
    <row r="370" spans="1:19" ht="24" x14ac:dyDescent="0.25">
      <c r="J370" s="165" t="s">
        <v>303</v>
      </c>
      <c r="K370" s="166" t="s">
        <v>304</v>
      </c>
      <c r="L370" s="166" t="s">
        <v>305</v>
      </c>
      <c r="M370" s="166" t="s">
        <v>306</v>
      </c>
      <c r="N370" s="166" t="s">
        <v>307</v>
      </c>
      <c r="O370" s="166" t="s">
        <v>308</v>
      </c>
      <c r="P370" s="167">
        <v>-0.22</v>
      </c>
      <c r="Q370" s="167">
        <v>-0.36</v>
      </c>
      <c r="R370" s="167">
        <v>-0.1</v>
      </c>
      <c r="S370" s="167">
        <v>-0.26</v>
      </c>
    </row>
    <row r="371" spans="1:19" x14ac:dyDescent="0.25">
      <c r="J371" s="165" t="s">
        <v>253</v>
      </c>
      <c r="K371" s="166" t="s">
        <v>309</v>
      </c>
      <c r="L371" s="166" t="s">
        <v>310</v>
      </c>
      <c r="M371" s="166" t="s">
        <v>311</v>
      </c>
      <c r="N371" s="166" t="s">
        <v>312</v>
      </c>
      <c r="O371" s="166" t="s">
        <v>313</v>
      </c>
      <c r="P371" s="167">
        <v>-0.59</v>
      </c>
      <c r="Q371" s="167">
        <v>-0.66</v>
      </c>
      <c r="R371" s="167">
        <v>-0.37</v>
      </c>
      <c r="S371" s="167">
        <v>-0.48</v>
      </c>
    </row>
    <row r="372" spans="1:19" x14ac:dyDescent="0.25">
      <c r="J372" s="165" t="s">
        <v>9</v>
      </c>
      <c r="K372" s="168" t="s">
        <v>314</v>
      </c>
      <c r="L372" s="168" t="s">
        <v>315</v>
      </c>
      <c r="M372" s="168" t="s">
        <v>316</v>
      </c>
      <c r="N372" s="168" t="s">
        <v>317</v>
      </c>
      <c r="O372" s="168" t="s">
        <v>318</v>
      </c>
      <c r="P372" s="169">
        <v>-0.46</v>
      </c>
      <c r="Q372" s="169">
        <v>-0.82</v>
      </c>
      <c r="R372" s="169">
        <v>-0.55000000000000004</v>
      </c>
      <c r="S372" s="169">
        <v>-0.85</v>
      </c>
    </row>
    <row r="374" spans="1:19" x14ac:dyDescent="0.25">
      <c r="K374" s="174" t="s">
        <v>319</v>
      </c>
    </row>
    <row r="376" spans="1:19" x14ac:dyDescent="0.25">
      <c r="J376" s="90" t="s">
        <v>320</v>
      </c>
    </row>
    <row r="379" spans="1:19" x14ac:dyDescent="0.25">
      <c r="A379" s="90" t="s">
        <v>320</v>
      </c>
    </row>
    <row r="380" spans="1:19" ht="18.75" x14ac:dyDescent="0.3">
      <c r="B380" s="98" t="s">
        <v>321</v>
      </c>
      <c r="C380" s="90" t="s">
        <v>13</v>
      </c>
      <c r="D380" s="90" t="s">
        <v>322</v>
      </c>
      <c r="E380" s="90" t="s">
        <v>323</v>
      </c>
    </row>
    <row r="381" spans="1:19" x14ac:dyDescent="0.25">
      <c r="B381" s="142" t="s">
        <v>163</v>
      </c>
      <c r="D381" s="89">
        <v>57089</v>
      </c>
      <c r="E381" s="89">
        <v>30258</v>
      </c>
    </row>
    <row r="382" spans="1:19" x14ac:dyDescent="0.25">
      <c r="B382" s="142" t="s">
        <v>164</v>
      </c>
      <c r="D382" s="89">
        <v>39753</v>
      </c>
      <c r="E382" s="89">
        <v>11754</v>
      </c>
    </row>
    <row r="383" spans="1:19" x14ac:dyDescent="0.25">
      <c r="B383" s="119" t="s">
        <v>165</v>
      </c>
      <c r="C383" s="89">
        <v>241</v>
      </c>
      <c r="D383" s="89">
        <f>SUM(D381:D382)</f>
        <v>96842</v>
      </c>
      <c r="E383" s="89">
        <f>SUM(E381:E382)</f>
        <v>42012</v>
      </c>
      <c r="F383" s="89">
        <f>SUM(D383:E383)/1000</f>
        <v>138.85400000000001</v>
      </c>
    </row>
    <row r="384" spans="1:19" x14ac:dyDescent="0.25">
      <c r="B384" s="119" t="s">
        <v>34</v>
      </c>
      <c r="C384" s="89">
        <v>137</v>
      </c>
      <c r="D384" s="89">
        <v>85943</v>
      </c>
      <c r="E384" s="89">
        <v>0</v>
      </c>
      <c r="F384" s="89">
        <f t="shared" ref="F384:F390" si="26">SUM(D384:E384)/1000</f>
        <v>85.942999999999998</v>
      </c>
    </row>
    <row r="385" spans="2:6" x14ac:dyDescent="0.25">
      <c r="B385" s="119" t="s">
        <v>166</v>
      </c>
      <c r="C385" s="89">
        <v>233</v>
      </c>
      <c r="D385" s="89">
        <v>98811</v>
      </c>
      <c r="E385" s="89">
        <v>11915</v>
      </c>
      <c r="F385" s="89">
        <f t="shared" si="26"/>
        <v>110.726</v>
      </c>
    </row>
    <row r="386" spans="2:6" x14ac:dyDescent="0.25">
      <c r="B386" s="119" t="s">
        <v>167</v>
      </c>
      <c r="C386" s="89">
        <v>12</v>
      </c>
      <c r="D386" s="89">
        <v>4499</v>
      </c>
      <c r="E386" s="89">
        <v>475</v>
      </c>
      <c r="F386" s="89">
        <f t="shared" si="26"/>
        <v>4.9740000000000002</v>
      </c>
    </row>
    <row r="387" spans="2:6" x14ac:dyDescent="0.25">
      <c r="B387" s="145" t="s">
        <v>9</v>
      </c>
      <c r="C387" s="89">
        <f>SUM(C383:C386)</f>
        <v>623</v>
      </c>
      <c r="D387" s="89">
        <f>SUM(D383:D386)</f>
        <v>286095</v>
      </c>
      <c r="E387" s="89">
        <f>SUM(E383:E386)</f>
        <v>54402</v>
      </c>
      <c r="F387" s="89">
        <f t="shared" si="26"/>
        <v>340.49700000000001</v>
      </c>
    </row>
    <row r="388" spans="2:6" x14ac:dyDescent="0.25">
      <c r="B388" s="90" t="s">
        <v>237</v>
      </c>
      <c r="D388" s="89">
        <v>37584</v>
      </c>
      <c r="F388" s="89">
        <f t="shared" si="26"/>
        <v>37.584000000000003</v>
      </c>
    </row>
    <row r="389" spans="2:6" x14ac:dyDescent="0.25">
      <c r="B389" s="90" t="s">
        <v>233</v>
      </c>
      <c r="D389" s="89">
        <v>77146</v>
      </c>
      <c r="F389" s="89">
        <f t="shared" si="26"/>
        <v>77.146000000000001</v>
      </c>
    </row>
    <row r="390" spans="2:6" x14ac:dyDescent="0.25">
      <c r="B390" s="90" t="s">
        <v>236</v>
      </c>
      <c r="D390" s="89">
        <v>16074</v>
      </c>
      <c r="E390" s="89">
        <v>4095</v>
      </c>
      <c r="F390" s="89">
        <f t="shared" si="26"/>
        <v>20.169</v>
      </c>
    </row>
    <row r="391" spans="2:6" x14ac:dyDescent="0.25">
      <c r="B391" s="90" t="s">
        <v>324</v>
      </c>
      <c r="D391" s="89">
        <f>SUM(D387:D390)</f>
        <v>416899</v>
      </c>
      <c r="E391" s="89">
        <f>SUM(E387:E390)</f>
        <v>58497</v>
      </c>
      <c r="F391" s="89">
        <f>SUM(F387:F390)</f>
        <v>475.39600000000002</v>
      </c>
    </row>
    <row r="392" spans="2:6" x14ac:dyDescent="0.25">
      <c r="D392" s="115">
        <f>D391-D407</f>
        <v>386552</v>
      </c>
      <c r="E392" s="115">
        <f>E391-E407</f>
        <v>18354</v>
      </c>
      <c r="F392" s="115">
        <f>SUM(D392:E392)</f>
        <v>404906</v>
      </c>
    </row>
    <row r="394" spans="2:6" x14ac:dyDescent="0.25">
      <c r="B394" s="90" t="s">
        <v>233</v>
      </c>
      <c r="C394" s="89">
        <v>593</v>
      </c>
    </row>
    <row r="395" spans="2:6" x14ac:dyDescent="0.25">
      <c r="B395" s="90" t="s">
        <v>325</v>
      </c>
      <c r="C395" s="89">
        <v>557</v>
      </c>
    </row>
    <row r="396" spans="2:6" x14ac:dyDescent="0.25">
      <c r="B396" s="90" t="s">
        <v>326</v>
      </c>
      <c r="C396" s="89">
        <v>37</v>
      </c>
    </row>
    <row r="397" spans="2:6" x14ac:dyDescent="0.25">
      <c r="B397" s="90" t="s">
        <v>236</v>
      </c>
      <c r="C397" s="89">
        <v>20</v>
      </c>
    </row>
    <row r="398" spans="2:6" x14ac:dyDescent="0.25">
      <c r="B398" s="90" t="s">
        <v>327</v>
      </c>
      <c r="C398" s="89">
        <v>86</v>
      </c>
    </row>
    <row r="399" spans="2:6" x14ac:dyDescent="0.25">
      <c r="B399" s="90" t="s">
        <v>328</v>
      </c>
      <c r="C399" s="117">
        <v>623</v>
      </c>
    </row>
    <row r="400" spans="2:6" x14ac:dyDescent="0.25">
      <c r="B400" s="90" t="s">
        <v>137</v>
      </c>
      <c r="C400" s="117">
        <v>802</v>
      </c>
    </row>
    <row r="402" spans="1:18" x14ac:dyDescent="0.25">
      <c r="C402" s="117" t="s">
        <v>137</v>
      </c>
      <c r="D402" s="90" t="s">
        <v>329</v>
      </c>
      <c r="F402" s="90" t="s">
        <v>330</v>
      </c>
      <c r="G402" s="117" t="s">
        <v>331</v>
      </c>
    </row>
    <row r="403" spans="1:18" x14ac:dyDescent="0.25">
      <c r="C403" s="90" t="s">
        <v>332</v>
      </c>
      <c r="D403" s="90" t="s">
        <v>333</v>
      </c>
      <c r="E403" s="90" t="s">
        <v>334</v>
      </c>
      <c r="F403" s="90" t="s">
        <v>335</v>
      </c>
      <c r="G403" s="90" t="s">
        <v>16</v>
      </c>
      <c r="H403" s="90" t="s">
        <v>11</v>
      </c>
      <c r="I403" s="90" t="s">
        <v>34</v>
      </c>
      <c r="J403" s="90" t="s">
        <v>167</v>
      </c>
      <c r="K403" s="90" t="s">
        <v>9</v>
      </c>
      <c r="M403" s="90" t="s">
        <v>336</v>
      </c>
      <c r="N403" s="117" t="s">
        <v>337</v>
      </c>
      <c r="O403" s="90" t="s">
        <v>338</v>
      </c>
    </row>
    <row r="404" spans="1:18" x14ac:dyDescent="0.25">
      <c r="B404" s="100" t="s">
        <v>0</v>
      </c>
      <c r="D404" s="115">
        <v>169218</v>
      </c>
      <c r="E404" s="115"/>
      <c r="G404" s="115"/>
      <c r="H404" s="115"/>
      <c r="I404" s="115"/>
      <c r="J404" s="115"/>
      <c r="K404" s="115"/>
      <c r="M404" s="115">
        <f>D404</f>
        <v>169218</v>
      </c>
      <c r="N404" s="115">
        <f>M404+F404+D$420*O404</f>
        <v>173226.3</v>
      </c>
      <c r="O404" s="176">
        <v>0.3</v>
      </c>
      <c r="P404" s="176"/>
    </row>
    <row r="405" spans="1:18" x14ac:dyDescent="0.25">
      <c r="B405" s="100" t="s">
        <v>138</v>
      </c>
      <c r="D405" s="115">
        <v>102060</v>
      </c>
      <c r="E405" s="115"/>
      <c r="G405" s="115"/>
      <c r="H405" s="115"/>
      <c r="I405" s="115"/>
      <c r="J405" s="115"/>
      <c r="K405" s="115"/>
      <c r="M405" s="115">
        <f>D405</f>
        <v>102060</v>
      </c>
      <c r="N405" s="115">
        <f>M405+F405+D$420*O405</f>
        <v>106068.3</v>
      </c>
      <c r="O405" s="176">
        <v>0.3</v>
      </c>
      <c r="P405" s="176"/>
    </row>
    <row r="406" spans="1:18" x14ac:dyDescent="0.25">
      <c r="B406" s="103" t="s">
        <v>1</v>
      </c>
      <c r="D406" s="115">
        <v>95255</v>
      </c>
      <c r="E406" s="115"/>
      <c r="G406" s="115"/>
      <c r="H406" s="115"/>
      <c r="I406" s="115"/>
      <c r="J406" s="115"/>
      <c r="K406" s="115"/>
      <c r="M406" s="115">
        <f>D406</f>
        <v>95255</v>
      </c>
      <c r="N406" s="115">
        <f>M406+F406+D$420*O406</f>
        <v>100599.4</v>
      </c>
      <c r="O406" s="176">
        <v>0.4</v>
      </c>
      <c r="P406" s="176"/>
    </row>
    <row r="407" spans="1:18" x14ac:dyDescent="0.25">
      <c r="B407" s="106" t="s">
        <v>139</v>
      </c>
      <c r="C407" s="89">
        <v>240</v>
      </c>
      <c r="D407" s="115">
        <v>30347</v>
      </c>
      <c r="E407" s="115">
        <v>40143</v>
      </c>
      <c r="G407" s="115">
        <v>71326</v>
      </c>
      <c r="H407" s="115">
        <v>38518</v>
      </c>
      <c r="I407" s="115">
        <v>19676</v>
      </c>
      <c r="J407" s="115">
        <v>6173</v>
      </c>
      <c r="K407" s="115">
        <f>SUM(G407:J407)</f>
        <v>135693</v>
      </c>
      <c r="L407" s="115">
        <f>K407+E407+D407</f>
        <v>206183</v>
      </c>
      <c r="M407" s="89">
        <f>C407*1000</f>
        <v>240000</v>
      </c>
      <c r="N407" s="115">
        <f>M407+F407+E$420*P407</f>
        <v>242100.4</v>
      </c>
      <c r="O407" s="176"/>
      <c r="P407" s="176">
        <v>0.4</v>
      </c>
    </row>
    <row r="408" spans="1:18" x14ac:dyDescent="0.25">
      <c r="B408" s="103" t="s">
        <v>3</v>
      </c>
      <c r="D408" s="115"/>
      <c r="E408" s="115"/>
      <c r="F408" s="115">
        <f>M424*Q408</f>
        <v>18927.5</v>
      </c>
      <c r="G408" s="115"/>
      <c r="H408" s="115"/>
      <c r="I408" s="115"/>
      <c r="J408" s="115"/>
      <c r="K408" s="115"/>
      <c r="N408" s="115">
        <f>M408+F408+E$420*P408</f>
        <v>20502.8</v>
      </c>
      <c r="O408" s="176"/>
      <c r="P408" s="176">
        <v>0.3</v>
      </c>
      <c r="Q408" s="89">
        <v>0.5</v>
      </c>
      <c r="R408" s="90" t="s">
        <v>339</v>
      </c>
    </row>
    <row r="409" spans="1:18" x14ac:dyDescent="0.25">
      <c r="B409" s="109" t="s">
        <v>340</v>
      </c>
      <c r="D409" s="115"/>
      <c r="E409" s="115">
        <v>6504</v>
      </c>
      <c r="F409" s="115">
        <f>M424*(1-Q408)</f>
        <v>18927.5</v>
      </c>
      <c r="G409" s="115"/>
      <c r="H409" s="115"/>
      <c r="I409" s="115"/>
      <c r="J409" s="115"/>
      <c r="K409" s="115"/>
      <c r="N409" s="115">
        <f>M409+F409+E$420*P409</f>
        <v>20502.8</v>
      </c>
      <c r="O409" s="176"/>
      <c r="P409" s="176">
        <v>0.3</v>
      </c>
    </row>
    <row r="410" spans="1:18" x14ac:dyDescent="0.25">
      <c r="B410" s="100" t="s">
        <v>143</v>
      </c>
      <c r="D410" s="144">
        <v>115</v>
      </c>
      <c r="E410" s="115"/>
      <c r="G410" s="115"/>
      <c r="H410" s="115"/>
      <c r="I410" s="115"/>
      <c r="J410" s="115"/>
      <c r="K410" s="115"/>
      <c r="N410" s="115">
        <f t="shared" ref="N410:N421" si="27">M410+F410</f>
        <v>0</v>
      </c>
    </row>
    <row r="411" spans="1:18" x14ac:dyDescent="0.25">
      <c r="B411" s="110" t="s">
        <v>74</v>
      </c>
      <c r="C411" s="89">
        <v>78</v>
      </c>
      <c r="D411" s="115">
        <v>4736</v>
      </c>
      <c r="E411" s="115">
        <v>1950</v>
      </c>
      <c r="G411" s="115">
        <f>40233</f>
        <v>40233</v>
      </c>
      <c r="H411" s="115">
        <v>16549</v>
      </c>
      <c r="I411" s="115">
        <v>0</v>
      </c>
      <c r="J411" s="115">
        <v>583</v>
      </c>
      <c r="K411" s="115">
        <f t="shared" ref="K411:K413" si="28">SUM(G411:J411)</f>
        <v>57365</v>
      </c>
      <c r="M411" s="89">
        <f>C411*1000</f>
        <v>78000</v>
      </c>
      <c r="N411" s="115">
        <f t="shared" si="27"/>
        <v>78000</v>
      </c>
    </row>
    <row r="412" spans="1:18" x14ac:dyDescent="0.25">
      <c r="B412" s="110" t="s">
        <v>144</v>
      </c>
      <c r="C412" s="89">
        <v>45</v>
      </c>
      <c r="D412" s="115"/>
      <c r="E412" s="115">
        <v>0</v>
      </c>
      <c r="G412" s="115">
        <v>2048</v>
      </c>
      <c r="H412" s="115">
        <v>51</v>
      </c>
      <c r="I412" s="115">
        <v>14259</v>
      </c>
      <c r="J412" s="115">
        <v>16</v>
      </c>
      <c r="K412" s="115">
        <f t="shared" si="28"/>
        <v>16374</v>
      </c>
      <c r="M412" s="89">
        <f>C412*1000</f>
        <v>45000</v>
      </c>
      <c r="N412" s="115">
        <f t="shared" si="27"/>
        <v>45000</v>
      </c>
    </row>
    <row r="413" spans="1:18" x14ac:dyDescent="0.25">
      <c r="B413" s="110" t="s">
        <v>145</v>
      </c>
      <c r="C413" s="89">
        <v>2</v>
      </c>
      <c r="D413" s="115"/>
      <c r="E413" s="115">
        <v>0</v>
      </c>
      <c r="G413" s="115">
        <v>1771</v>
      </c>
      <c r="H413" s="115">
        <v>1</v>
      </c>
      <c r="I413" s="115">
        <v>0</v>
      </c>
      <c r="J413" s="115">
        <v>2</v>
      </c>
      <c r="K413" s="115">
        <f t="shared" si="28"/>
        <v>1774</v>
      </c>
      <c r="M413" s="89">
        <f>C413*1000</f>
        <v>2000</v>
      </c>
      <c r="N413" s="115">
        <f t="shared" si="27"/>
        <v>2000</v>
      </c>
    </row>
    <row r="414" spans="1:18" x14ac:dyDescent="0.25">
      <c r="B414" s="110" t="s">
        <v>146</v>
      </c>
      <c r="C414" s="89">
        <v>14</v>
      </c>
      <c r="D414" s="115">
        <v>1537</v>
      </c>
      <c r="E414" s="115">
        <v>4650</v>
      </c>
      <c r="G414" s="115">
        <v>7009</v>
      </c>
      <c r="H414" s="115"/>
      <c r="I414" s="115"/>
      <c r="J414" s="115"/>
      <c r="K414" s="115"/>
      <c r="M414" s="89">
        <f>C414*1000</f>
        <v>14000</v>
      </c>
      <c r="N414" s="115">
        <f t="shared" si="27"/>
        <v>14000</v>
      </c>
    </row>
    <row r="415" spans="1:18" x14ac:dyDescent="0.25">
      <c r="B415" s="110" t="s">
        <v>147</v>
      </c>
      <c r="D415" s="115"/>
      <c r="E415" s="115"/>
      <c r="G415" s="115"/>
      <c r="H415" s="115"/>
      <c r="I415" s="115">
        <v>16666</v>
      </c>
      <c r="J415" s="115"/>
      <c r="K415" s="115">
        <f>SUM(G415:J415)</f>
        <v>16666</v>
      </c>
      <c r="N415" s="115">
        <f t="shared" si="27"/>
        <v>0</v>
      </c>
    </row>
    <row r="416" spans="1:18" x14ac:dyDescent="0.25">
      <c r="A416" s="90" t="s">
        <v>341</v>
      </c>
      <c r="B416" s="113" t="s">
        <v>148</v>
      </c>
      <c r="C416" s="89">
        <v>0</v>
      </c>
      <c r="D416" s="115"/>
      <c r="E416" s="115"/>
      <c r="G416" s="115"/>
      <c r="H416" s="115"/>
      <c r="I416" s="115"/>
      <c r="J416" s="115"/>
      <c r="K416" s="115"/>
      <c r="N416" s="115">
        <f t="shared" si="27"/>
        <v>0</v>
      </c>
    </row>
    <row r="417" spans="2:14" x14ac:dyDescent="0.25">
      <c r="B417" s="90" t="s">
        <v>342</v>
      </c>
      <c r="C417" s="89">
        <v>423</v>
      </c>
      <c r="D417" s="115"/>
      <c r="E417" s="115"/>
      <c r="G417" s="115"/>
      <c r="H417" s="115"/>
      <c r="I417" s="115"/>
      <c r="J417" s="115"/>
      <c r="K417" s="115"/>
      <c r="N417" s="115">
        <f t="shared" si="27"/>
        <v>0</v>
      </c>
    </row>
    <row r="418" spans="2:14" x14ac:dyDescent="0.25">
      <c r="B418" s="90" t="s">
        <v>12</v>
      </c>
      <c r="D418" s="115"/>
      <c r="E418" s="115"/>
      <c r="G418" s="115">
        <v>98811</v>
      </c>
      <c r="H418" s="115">
        <v>96843</v>
      </c>
      <c r="I418" s="115">
        <v>85943</v>
      </c>
      <c r="J418" s="115">
        <v>4499</v>
      </c>
      <c r="K418" s="177">
        <f t="shared" ref="K418:K419" si="29">SUM(G418:J418)</f>
        <v>286096</v>
      </c>
      <c r="N418" s="115">
        <f t="shared" si="27"/>
        <v>0</v>
      </c>
    </row>
    <row r="419" spans="2:14" x14ac:dyDescent="0.25">
      <c r="B419" s="90" t="s">
        <v>255</v>
      </c>
      <c r="D419" s="115"/>
      <c r="E419" s="115"/>
      <c r="G419" s="115">
        <v>12046</v>
      </c>
      <c r="H419" s="115">
        <v>89408</v>
      </c>
      <c r="I419" s="115"/>
      <c r="J419" s="115">
        <v>631</v>
      </c>
      <c r="K419" s="115">
        <f t="shared" si="29"/>
        <v>102085</v>
      </c>
      <c r="N419" s="115">
        <f t="shared" si="27"/>
        <v>0</v>
      </c>
    </row>
    <row r="420" spans="2:14" x14ac:dyDescent="0.25">
      <c r="B420" s="178" t="s">
        <v>343</v>
      </c>
      <c r="D420" s="115">
        <v>13361</v>
      </c>
      <c r="E420" s="115">
        <v>5251</v>
      </c>
      <c r="G420" s="115"/>
      <c r="H420" s="115"/>
      <c r="I420" s="115"/>
      <c r="J420" s="115"/>
      <c r="K420" s="115"/>
      <c r="M420" s="115">
        <f>D420+E420</f>
        <v>18612</v>
      </c>
      <c r="N420" s="179">
        <v>0</v>
      </c>
    </row>
    <row r="421" spans="2:14" x14ac:dyDescent="0.25">
      <c r="B421" s="90" t="s">
        <v>80</v>
      </c>
      <c r="D421" s="144">
        <v>0</v>
      </c>
      <c r="E421" s="115">
        <v>0</v>
      </c>
      <c r="G421" s="115"/>
      <c r="H421" s="115"/>
      <c r="I421" s="115"/>
      <c r="J421" s="115"/>
      <c r="K421" s="115"/>
      <c r="M421" s="115">
        <f>D421+E421</f>
        <v>0</v>
      </c>
      <c r="N421" s="115">
        <f t="shared" si="27"/>
        <v>0</v>
      </c>
    </row>
    <row r="422" spans="2:14" x14ac:dyDescent="0.25">
      <c r="B422" s="90" t="s">
        <v>13</v>
      </c>
      <c r="C422" s="89">
        <f>SUM(C404:C421)</f>
        <v>802</v>
      </c>
      <c r="D422" s="115">
        <f>SUM(D404:D421)</f>
        <v>416629</v>
      </c>
      <c r="E422" s="115">
        <f>SUM(E404:E421)</f>
        <v>58498</v>
      </c>
      <c r="G422" s="115">
        <f>SUM(G404:G419)</f>
        <v>233244</v>
      </c>
      <c r="H422" s="115">
        <f>SUM(H404:H419)</f>
        <v>241370</v>
      </c>
      <c r="I422" s="115">
        <f>SUM(I404:I419)</f>
        <v>136544</v>
      </c>
      <c r="J422" s="115">
        <f>SUM(J404:J419)</f>
        <v>11904</v>
      </c>
      <c r="K422" s="115">
        <f>SUM(G422:J422)</f>
        <v>623062</v>
      </c>
      <c r="M422" s="115">
        <f>SUM(M404:M421)</f>
        <v>764145</v>
      </c>
      <c r="N422" s="177">
        <f>SUM(N404:N421)</f>
        <v>802000.00000000012</v>
      </c>
    </row>
    <row r="423" spans="2:14" x14ac:dyDescent="0.25">
      <c r="B423" s="90" t="s">
        <v>237</v>
      </c>
      <c r="D423" s="115"/>
      <c r="E423" s="115"/>
      <c r="G423" s="115"/>
      <c r="H423" s="115"/>
      <c r="I423" s="115"/>
      <c r="J423" s="115"/>
      <c r="K423" s="115">
        <f>F388</f>
        <v>37.584000000000003</v>
      </c>
    </row>
    <row r="424" spans="2:14" x14ac:dyDescent="0.25">
      <c r="B424" s="90" t="s">
        <v>233</v>
      </c>
      <c r="D424" s="115"/>
      <c r="E424" s="115"/>
      <c r="F424" s="115"/>
      <c r="G424" s="115"/>
      <c r="H424" s="115"/>
      <c r="I424" s="115"/>
      <c r="J424" s="115"/>
      <c r="M424" s="89">
        <f>C422*1000-M422</f>
        <v>37855</v>
      </c>
    </row>
    <row r="425" spans="2:14" x14ac:dyDescent="0.25">
      <c r="B425" s="90" t="s">
        <v>236</v>
      </c>
      <c r="D425" s="115"/>
      <c r="E425" s="115"/>
      <c r="F425" s="115"/>
      <c r="G425" s="115"/>
      <c r="H425" s="115"/>
      <c r="I425" s="115"/>
      <c r="J425" s="115"/>
    </row>
    <row r="426" spans="2:14" x14ac:dyDescent="0.25">
      <c r="B426" s="90" t="s">
        <v>324</v>
      </c>
      <c r="D426" s="115"/>
      <c r="E426" s="115"/>
      <c r="F426" s="115"/>
      <c r="G426" s="115"/>
      <c r="H426" s="115"/>
      <c r="I426" s="115"/>
      <c r="J426" s="115"/>
    </row>
    <row r="427" spans="2:14" x14ac:dyDescent="0.25">
      <c r="B427" s="90" t="s">
        <v>344</v>
      </c>
      <c r="D427" s="180" t="s">
        <v>345</v>
      </c>
      <c r="E427" s="115"/>
      <c r="F427" s="115">
        <v>8603</v>
      </c>
      <c r="G427" s="115">
        <v>381</v>
      </c>
      <c r="H427" s="115">
        <v>11025</v>
      </c>
      <c r="I427" s="115">
        <v>2041</v>
      </c>
      <c r="J427" s="115"/>
    </row>
    <row r="428" spans="2:14" x14ac:dyDescent="0.25">
      <c r="D428" s="115">
        <v>416900</v>
      </c>
      <c r="E428" s="115"/>
      <c r="F428" s="115"/>
      <c r="G428" s="115"/>
      <c r="H428" s="115"/>
      <c r="I428" s="115"/>
      <c r="J428" s="115"/>
    </row>
    <row r="438" spans="2:2" x14ac:dyDescent="0.25">
      <c r="B438" s="100" t="s">
        <v>0</v>
      </c>
    </row>
    <row r="439" spans="2:2" x14ac:dyDescent="0.25">
      <c r="B439" s="100" t="s">
        <v>138</v>
      </c>
    </row>
    <row r="440" spans="2:2" x14ac:dyDescent="0.25">
      <c r="B440" s="103" t="s">
        <v>1</v>
      </c>
    </row>
    <row r="441" spans="2:2" x14ac:dyDescent="0.25">
      <c r="B441" s="106" t="s">
        <v>139</v>
      </c>
    </row>
    <row r="442" spans="2:2" x14ac:dyDescent="0.25">
      <c r="B442" s="103" t="s">
        <v>3</v>
      </c>
    </row>
    <row r="443" spans="2:2" x14ac:dyDescent="0.25">
      <c r="B443" s="103" t="s">
        <v>198</v>
      </c>
    </row>
    <row r="444" spans="2:2" x14ac:dyDescent="0.25">
      <c r="B444" s="100" t="s">
        <v>143</v>
      </c>
    </row>
    <row r="445" spans="2:2" x14ac:dyDescent="0.25">
      <c r="B445" s="110" t="s">
        <v>74</v>
      </c>
    </row>
    <row r="446" spans="2:2" x14ac:dyDescent="0.25">
      <c r="B446" s="110" t="s">
        <v>144</v>
      </c>
    </row>
    <row r="447" spans="2:2" x14ac:dyDescent="0.25">
      <c r="B447" s="110" t="s">
        <v>145</v>
      </c>
    </row>
    <row r="448" spans="2:2" x14ac:dyDescent="0.25">
      <c r="B448" s="110" t="s">
        <v>146</v>
      </c>
    </row>
    <row r="449" spans="2:2" x14ac:dyDescent="0.25">
      <c r="B449" s="110" t="s">
        <v>147</v>
      </c>
    </row>
    <row r="450" spans="2:2" x14ac:dyDescent="0.25">
      <c r="B450" s="113" t="s">
        <v>148</v>
      </c>
    </row>
    <row r="451" spans="2:2" x14ac:dyDescent="0.25">
      <c r="B451" s="90" t="s">
        <v>342</v>
      </c>
    </row>
    <row r="452" spans="2:2" x14ac:dyDescent="0.25">
      <c r="B452" s="90" t="s">
        <v>12</v>
      </c>
    </row>
    <row r="453" spans="2:2" x14ac:dyDescent="0.25">
      <c r="B453" s="90" t="s">
        <v>255</v>
      </c>
    </row>
    <row r="454" spans="2:2" x14ac:dyDescent="0.25">
      <c r="B454" s="90" t="s">
        <v>13</v>
      </c>
    </row>
    <row r="455" spans="2:2" x14ac:dyDescent="0.25">
      <c r="B455" s="90" t="s">
        <v>344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2019</vt:lpstr>
      <vt:lpstr>2018</vt:lpstr>
      <vt:lpstr>factors</vt:lpstr>
      <vt:lpstr>scenarios</vt:lpstr>
      <vt:lpstr>python_verbrauch</vt:lpstr>
      <vt:lpstr>python_bedarf</vt:lpstr>
      <vt:lpstr>Sankey2050 (PJ)</vt:lpstr>
      <vt:lpstr>Sankey2050 (GWh original)</vt:lpstr>
      <vt:lpstr>TabelleEE</vt:lpstr>
      <vt:lpstr>KO_EEneu4neu</vt:lpstr>
      <vt:lpstr>Endenergie</vt:lpstr>
      <vt:lpstr>EE2018</vt:lpstr>
      <vt:lpstr>Kontrolle</vt:lpstr>
      <vt:lpstr>zentral_lokal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2021-01-19T01:34:29Z</dcterms:modified>
</cp:coreProperties>
</file>