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imon Schneider\PycharmProjects\co2besser\static\data\"/>
    </mc:Choice>
  </mc:AlternateContent>
  <bookViews>
    <workbookView xWindow="0" yWindow="0" windowWidth="23040" windowHeight="9192" activeTab="2"/>
  </bookViews>
  <sheets>
    <sheet name="Emission gesamt" sheetId="1" r:id="rId1"/>
    <sheet name="Kurz- Mittel- und Langstrecken" sheetId="2" r:id="rId2"/>
    <sheet name="Flugverhalten" sheetId="3" r:id="rId3"/>
  </sheets>
  <calcPr calcId="162913"/>
</workbook>
</file>

<file path=xl/calcChain.xml><?xml version="1.0" encoding="utf-8"?>
<calcChain xmlns="http://schemas.openxmlformats.org/spreadsheetml/2006/main">
  <c r="J4" i="3" l="1"/>
  <c r="J5" i="3"/>
  <c r="J6" i="3"/>
  <c r="J7" i="3"/>
  <c r="I4" i="3"/>
  <c r="I5" i="3"/>
  <c r="I6" i="3"/>
  <c r="I7" i="3"/>
  <c r="F18" i="3" l="1"/>
  <c r="F15" i="3"/>
  <c r="F12" i="3"/>
  <c r="F11" i="3"/>
  <c r="F10" i="3"/>
  <c r="F5" i="3"/>
  <c r="F6" i="3"/>
  <c r="F7" i="3"/>
  <c r="F4" i="3"/>
  <c r="D9" i="1"/>
  <c r="D11" i="1" s="1"/>
  <c r="D13" i="1" s="1"/>
  <c r="D15" i="1" s="1"/>
  <c r="G18" i="3" l="1"/>
  <c r="G7" i="3"/>
  <c r="D18" i="3"/>
  <c r="G15" i="3"/>
  <c r="D15" i="3"/>
  <c r="G12" i="3"/>
  <c r="D12" i="3"/>
  <c r="G11" i="3"/>
  <c r="D11" i="3"/>
  <c r="G10" i="3"/>
  <c r="D10" i="3"/>
  <c r="D7" i="3"/>
  <c r="G6" i="3"/>
  <c r="D6" i="3"/>
  <c r="G5" i="3"/>
  <c r="D5" i="3"/>
  <c r="G4" i="3"/>
  <c r="D4" i="3"/>
  <c r="H7" i="3" l="1"/>
  <c r="H15" i="3"/>
  <c r="H16" i="3" s="1"/>
  <c r="I16" i="3" s="1"/>
  <c r="J16" i="3" s="1"/>
  <c r="H12" i="3"/>
  <c r="H11" i="3"/>
  <c r="H18" i="3"/>
  <c r="H19" i="3" s="1"/>
  <c r="I19" i="3" s="1"/>
  <c r="J19" i="3" s="1"/>
  <c r="H10" i="3"/>
  <c r="H5" i="3"/>
  <c r="H4" i="3"/>
  <c r="H6" i="3"/>
  <c r="H13" i="3" l="1"/>
  <c r="I13" i="3" s="1"/>
  <c r="J13" i="3" s="1"/>
  <c r="H8" i="3"/>
  <c r="J8" i="3" l="1"/>
  <c r="I8" i="3"/>
  <c r="B22" i="1"/>
  <c r="B21" i="1"/>
  <c r="B20" i="1"/>
  <c r="D6" i="2" l="1"/>
  <c r="G5" i="2"/>
  <c r="G6" i="2"/>
  <c r="H6" i="2" s="1"/>
  <c r="G4" i="2"/>
  <c r="D5" i="2"/>
  <c r="D4" i="2"/>
  <c r="H4" i="2" s="1"/>
  <c r="J4" i="2" l="1"/>
  <c r="I4" i="2"/>
  <c r="I6" i="2"/>
  <c r="J6" i="2"/>
  <c r="H5" i="2"/>
  <c r="B34" i="1"/>
  <c r="B31" i="1"/>
  <c r="D22" i="1"/>
  <c r="D21" i="1"/>
  <c r="D20" i="1"/>
  <c r="I5" i="2" l="1"/>
  <c r="J5" i="2" s="1"/>
  <c r="D23" i="1"/>
  <c r="B36" i="1"/>
  <c r="D38" i="1" s="1"/>
  <c r="D25" i="1" l="1"/>
  <c r="D42" i="1" s="1"/>
  <c r="C23" i="1"/>
</calcChain>
</file>

<file path=xl/sharedStrings.xml><?xml version="1.0" encoding="utf-8"?>
<sst xmlns="http://schemas.openxmlformats.org/spreadsheetml/2006/main" count="88" uniqueCount="68">
  <si>
    <t>Summe</t>
  </si>
  <si>
    <t>Quellen: siehe Buch, Anhang, Datenquellen</t>
  </si>
  <si>
    <t>Verhalten</t>
  </si>
  <si>
    <t>Tonnen CO2</t>
  </si>
  <si>
    <t>Emissionen durch privaten Flugverkehr</t>
  </si>
  <si>
    <t>Langstrecken (&gt; 3000 km)</t>
  </si>
  <si>
    <t>Mittelstrecken (800-3000 km)</t>
  </si>
  <si>
    <t>Kurzstrecken (&lt; 800 km)</t>
  </si>
  <si>
    <t>Strecke in km</t>
  </si>
  <si>
    <t>spezifische CO2-Emission in g pro km</t>
  </si>
  <si>
    <t>Durchschnittliche Flugstrecken des Mitteleuropäers:</t>
  </si>
  <si>
    <t>am Beispiel der Schweiz:</t>
  </si>
  <si>
    <t>kWh_PE</t>
  </si>
  <si>
    <t>EW</t>
  </si>
  <si>
    <t>Primärenergieverbrauch Flughafen Zürich</t>
  </si>
  <si>
    <t>g/kWh</t>
  </si>
  <si>
    <t>spezifische CO2-Emission Primärenergie (Mittel, Mix geschätzt)</t>
  </si>
  <si>
    <t>Anteil Passagierleistung Zürich aller CH-Flughäfen</t>
  </si>
  <si>
    <t>m²</t>
  </si>
  <si>
    <t>Emission bei der Errichtung:</t>
  </si>
  <si>
    <t>kg/m²</t>
  </si>
  <si>
    <t>Gebäudeerrichtung - Flughafen Zürich</t>
  </si>
  <si>
    <t>Emission gesamt durch Betrieb</t>
  </si>
  <si>
    <t>Hochrechnung auf alle Flughäfen:</t>
  </si>
  <si>
    <t>Summe aller Emissionen</t>
  </si>
  <si>
    <t>Emission in kg CO2 pro Person</t>
  </si>
  <si>
    <t>Langstrecke (&gt; 3000 km)</t>
  </si>
  <si>
    <t>Beispiele für Emissionen je Flug</t>
  </si>
  <si>
    <t>Beispielhafte Strecke</t>
  </si>
  <si>
    <t>München - Bangkok</t>
  </si>
  <si>
    <t>Strecke einfach in km</t>
  </si>
  <si>
    <t>Kerosinverbrauch in Liter pro 100 Personenkilometer</t>
  </si>
  <si>
    <t>Berlin - Barcelona</t>
  </si>
  <si>
    <t xml:space="preserve">Emission in kg CO2 pro Reise </t>
  </si>
  <si>
    <t>Tatsächlicher Treibhauseffekt in g_CO2-äq pro km</t>
  </si>
  <si>
    <t>Frankfurt - Wien</t>
  </si>
  <si>
    <t>Bitte beachten: Bei der Grafik im Buch auf Seite 35 hat sich leider ein Fehler eingeschlichen. Die auf der rechten Y-Achse abzulesenden Werte für die gesamte Treibhauswirkung je Reise sind um den Faktor 1,6 zu niedrig dargestellt!</t>
  </si>
  <si>
    <t>spezifische CO2-Emission in g pro Personenkilometer</t>
  </si>
  <si>
    <t>Sehr viel</t>
  </si>
  <si>
    <t>Langstrecke</t>
  </si>
  <si>
    <t>Kurzstrecke 1</t>
  </si>
  <si>
    <t>Kurzstrecke 2</t>
  </si>
  <si>
    <t>Kurzstrecke 3</t>
  </si>
  <si>
    <t>Viel</t>
  </si>
  <si>
    <t>Mittelstrecke</t>
  </si>
  <si>
    <t>Regelmäßig</t>
  </si>
  <si>
    <t>Ausnahmesweise</t>
  </si>
  <si>
    <t>Mittelstrecke - einmal in 10 Jahren</t>
  </si>
  <si>
    <t>Strecke 
Hin und Retour</t>
  </si>
  <si>
    <t>Wieviel wird überhaupt geflogen?</t>
  </si>
  <si>
    <t>Das ist die eigentlich schwierige Frage, weil Passagier- und Verbrauchsdaten zwar für einzelne Flughäfen oder auch Länder zur Verfügung stehen, die Abgrenzung, welcher Anteil davon welcher Nationalität und somit welcher Personenmenge zuzuordnen wäre, aber sehr schwierig ist. Hier wird der Kerosinverbrauch in Deutschland (8,5 Millionen Tonnen, 2015) herangezogen und auf die Bevölkerung Deutschlands aufgeteilt. Dies unterstellt, dass für deutsche Staatsbürger im Ausland ebenso viel Kerosin verbraucht wird, wie in Deutschland für ausländische Staatsbürger.</t>
  </si>
  <si>
    <t>1. Ermittlung der durchschnittlichen Flugleistung</t>
  </si>
  <si>
    <t xml:space="preserve">2. Direkte CO2-Emissionen durch Kerosinverbrauch </t>
  </si>
  <si>
    <t>3. Verstärkung des Treibhauseffekts, RFI-Faktor 2,7</t>
  </si>
  <si>
    <t>4a. Emission Errichtung und Betrieb in kg CO2 und Person</t>
  </si>
  <si>
    <t>4b. Emission Errichtung und Instandhaltung Flugzeuge (Schätzung)</t>
  </si>
  <si>
    <t>Kerosinverbrauch Deutschland in Tonnen</t>
  </si>
  <si>
    <t>Dichte Kerosin in Liter pro Kilogramm</t>
  </si>
  <si>
    <t>Kerosinverbrauch Deutschland in Liter</t>
  </si>
  <si>
    <t>Durchschnittlicher Verbrauch in Liter pro 100 Personen-Kilometer</t>
  </si>
  <si>
    <t>Ergibt Personen-Kilometer</t>
  </si>
  <si>
    <t>Einwohner Deutschland</t>
  </si>
  <si>
    <t>Flugkilometer pro Person</t>
  </si>
  <si>
    <t>Anteil geschäftlicher Flugverkehr sowie öffentlicher Bereich (Abschätzung)</t>
  </si>
  <si>
    <t>Verbleibende Personen-Kilometer privat</t>
  </si>
  <si>
    <t>Gesamtemission in kg CO2 pro Reise</t>
  </si>
  <si>
    <t>Zuschlag für Infrastruktur (8%)</t>
  </si>
  <si>
    <t>4. Errichtung und Betrieb der Infrastruktur (Flughäfen, Flugzeuge)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</si>
</sst>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_-;\-* #,##0.00\ _€_-;_-* &quot;-&quot;??\ _€_-;_-@_-"/>
    <numFmt numFmtId="165" formatCode="0.0"/>
    <numFmt numFmtId="166" formatCode="#,##0_ ;\-#,##0\ "/>
    <numFmt numFmtId="167" formatCode="0.000"/>
    <numFmt numFmtId="168"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2" fontId="0" fillId="0" borderId="0" xfId="0" applyNumberFormat="1"/>
    <xf numFmtId="1" fontId="0" fillId="0" borderId="0" xfId="0" applyNumberFormat="1"/>
    <xf numFmtId="165" fontId="0" fillId="0" borderId="0" xfId="0" applyNumberFormat="1"/>
    <xf numFmtId="0" fontId="0" fillId="0" borderId="0" xfId="0" applyAlignment="1">
      <alignment wrapText="1"/>
    </xf>
    <xf numFmtId="0" fontId="1" fillId="0" borderId="0" xfId="0" applyFont="1"/>
    <xf numFmtId="2" fontId="1" fillId="0" borderId="0" xfId="0" applyNumberFormat="1" applyFont="1"/>
    <xf numFmtId="165" fontId="1" fillId="0" borderId="0" xfId="0" applyNumberFormat="1" applyFont="1"/>
    <xf numFmtId="0" fontId="0" fillId="0" borderId="0" xfId="0" applyAlignment="1"/>
    <xf numFmtId="0" fontId="1" fillId="0" borderId="0" xfId="0" applyFont="1" applyAlignment="1"/>
    <xf numFmtId="3" fontId="0" fillId="0" borderId="0" xfId="0" applyNumberFormat="1" applyAlignment="1"/>
    <xf numFmtId="166" fontId="0" fillId="0" borderId="0" xfId="1" applyNumberFormat="1" applyFont="1" applyAlignment="1"/>
    <xf numFmtId="10" fontId="0" fillId="0" borderId="0" xfId="1" applyNumberFormat="1" applyFont="1" applyAlignment="1"/>
    <xf numFmtId="3" fontId="1" fillId="0" borderId="0" xfId="0" applyNumberFormat="1" applyFont="1" applyAlignment="1"/>
    <xf numFmtId="0" fontId="1" fillId="0" borderId="0" xfId="0" applyFont="1" applyAlignment="1">
      <alignment wrapText="1"/>
    </xf>
    <xf numFmtId="0" fontId="0" fillId="0" borderId="0" xfId="0" applyFont="1" applyAlignment="1"/>
    <xf numFmtId="166" fontId="2" fillId="0" borderId="0" xfId="1" applyNumberFormat="1" applyFont="1" applyAlignment="1"/>
    <xf numFmtId="0" fontId="0" fillId="0" borderId="0" xfId="0" applyFont="1"/>
    <xf numFmtId="166" fontId="1" fillId="0" borderId="0" xfId="1" applyNumberFormat="1" applyFont="1" applyAlignment="1"/>
    <xf numFmtId="1" fontId="1" fillId="0" borderId="0" xfId="0" applyNumberFormat="1" applyFont="1"/>
    <xf numFmtId="9" fontId="0" fillId="0" borderId="0" xfId="2" applyFont="1"/>
    <xf numFmtId="167" fontId="1" fillId="0" borderId="0" xfId="0" applyNumberFormat="1" applyFont="1"/>
    <xf numFmtId="4" fontId="0" fillId="0" borderId="0" xfId="0" applyNumberFormat="1" applyAlignment="1"/>
    <xf numFmtId="1" fontId="1" fillId="0" borderId="0" xfId="0" applyNumberFormat="1" applyFont="1" applyAlignment="1">
      <alignment wrapText="1"/>
    </xf>
    <xf numFmtId="4" fontId="1" fillId="0" borderId="0" xfId="0" applyNumberFormat="1" applyFont="1" applyAlignment="1"/>
    <xf numFmtId="0" fontId="0" fillId="0" borderId="0" xfId="0" applyAlignment="1">
      <alignment vertical="top"/>
    </xf>
    <xf numFmtId="0" fontId="0" fillId="0" borderId="0" xfId="0" applyFont="1" applyAlignment="1">
      <alignment horizontal="left" vertical="top" wrapText="1"/>
    </xf>
    <xf numFmtId="0" fontId="1" fillId="0" borderId="0" xfId="0" applyFont="1" applyAlignment="1">
      <alignment horizontal="left" vertical="top" wrapText="1"/>
    </xf>
    <xf numFmtId="2" fontId="0" fillId="0" borderId="0" xfId="0" applyNumberFormat="1" applyFont="1" applyAlignment="1">
      <alignment horizontal="right" vertical="top" wrapText="1"/>
    </xf>
    <xf numFmtId="168" fontId="0" fillId="0" borderId="0" xfId="0" applyNumberFormat="1" applyAlignment="1"/>
    <xf numFmtId="10" fontId="0" fillId="0" borderId="0" xfId="0" applyNumberFormat="1" applyAlignment="1"/>
    <xf numFmtId="0" fontId="0" fillId="0" borderId="0" xfId="0" applyFont="1" applyAlignment="1">
      <alignment horizontal="left" vertical="top"/>
    </xf>
    <xf numFmtId="9" fontId="0" fillId="0" borderId="0" xfId="0" applyNumberFormat="1" applyAlignment="1"/>
    <xf numFmtId="3" fontId="0" fillId="0" borderId="0" xfId="0" applyNumberFormat="1"/>
    <xf numFmtId="3" fontId="1" fillId="0" borderId="0" xfId="0" applyNumberFormat="1" applyFont="1"/>
    <xf numFmtId="0" fontId="0" fillId="0" borderId="0" xfId="0" applyFont="1" applyAlignment="1">
      <alignment horizontal="left" vertical="top" wrapText="1"/>
    </xf>
    <xf numFmtId="0" fontId="3" fillId="2" borderId="0" xfId="0" applyFont="1" applyFill="1" applyAlignment="1">
      <alignment horizontal="left" wrapText="1"/>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4" zoomScaleNormal="100" workbookViewId="0">
      <selection activeCell="D41" sqref="D41"/>
    </sheetView>
  </sheetViews>
  <sheetFormatPr baseColWidth="10" defaultRowHeight="14.4" x14ac:dyDescent="0.3"/>
  <cols>
    <col min="1" max="1" width="62.44140625" style="4" bestFit="1" customWidth="1"/>
    <col min="2" max="2" width="18.33203125" style="4" customWidth="1"/>
    <col min="3" max="3" width="19.33203125" style="4" customWidth="1"/>
    <col min="4" max="4" width="19.33203125" bestFit="1" customWidth="1"/>
    <col min="5" max="5" width="16.109375" customWidth="1"/>
    <col min="7" max="7" width="57.44140625" customWidth="1"/>
  </cols>
  <sheetData>
    <row r="1" spans="1:4" x14ac:dyDescent="0.3">
      <c r="A1" s="8" t="s">
        <v>4</v>
      </c>
      <c r="B1" s="8"/>
      <c r="C1" s="8"/>
    </row>
    <row r="2" spans="1:4" x14ac:dyDescent="0.3">
      <c r="A2" s="8"/>
      <c r="B2" s="8"/>
      <c r="C2" s="8"/>
    </row>
    <row r="3" spans="1:4" x14ac:dyDescent="0.3">
      <c r="A3" s="9" t="s">
        <v>49</v>
      </c>
      <c r="B3" s="8"/>
      <c r="C3" s="8"/>
    </row>
    <row r="4" spans="1:4" s="25" customFormat="1" ht="75.75" customHeight="1" x14ac:dyDescent="0.3">
      <c r="A4" s="35" t="s">
        <v>50</v>
      </c>
      <c r="B4" s="35"/>
      <c r="C4" s="35"/>
      <c r="D4" s="35"/>
    </row>
    <row r="5" spans="1:4" s="25" customFormat="1" ht="15" customHeight="1" x14ac:dyDescent="0.3">
      <c r="A5" s="26"/>
      <c r="B5" s="26"/>
      <c r="C5" s="26"/>
      <c r="D5" s="26"/>
    </row>
    <row r="6" spans="1:4" s="25" customFormat="1" ht="15" customHeight="1" x14ac:dyDescent="0.3">
      <c r="A6" s="27" t="s">
        <v>51</v>
      </c>
      <c r="B6" s="26"/>
      <c r="C6" s="26"/>
      <c r="D6" s="26"/>
    </row>
    <row r="7" spans="1:4" s="25" customFormat="1" ht="15" customHeight="1" x14ac:dyDescent="0.3">
      <c r="A7" s="26" t="s">
        <v>56</v>
      </c>
      <c r="C7" s="8"/>
      <c r="D7" s="10">
        <v>8500000</v>
      </c>
    </row>
    <row r="8" spans="1:4" s="25" customFormat="1" ht="15" customHeight="1" x14ac:dyDescent="0.3">
      <c r="A8" s="26" t="s">
        <v>57</v>
      </c>
      <c r="C8" s="26"/>
      <c r="D8" s="28">
        <v>1.25</v>
      </c>
    </row>
    <row r="9" spans="1:4" s="25" customFormat="1" ht="15" customHeight="1" x14ac:dyDescent="0.3">
      <c r="A9" s="26" t="s">
        <v>58</v>
      </c>
      <c r="C9" s="26"/>
      <c r="D9" s="10">
        <f>D7*D8*1000</f>
        <v>10625000000</v>
      </c>
    </row>
    <row r="10" spans="1:4" s="25" customFormat="1" ht="15" customHeight="1" x14ac:dyDescent="0.3">
      <c r="A10" s="26" t="s">
        <v>59</v>
      </c>
      <c r="C10" s="26"/>
      <c r="D10" s="29">
        <v>4.2</v>
      </c>
    </row>
    <row r="11" spans="1:4" s="25" customFormat="1" ht="15" customHeight="1" x14ac:dyDescent="0.3">
      <c r="A11" s="26" t="s">
        <v>60</v>
      </c>
      <c r="C11" s="26"/>
      <c r="D11" s="10">
        <f>D9/D10*100</f>
        <v>252976190476.19046</v>
      </c>
    </row>
    <row r="12" spans="1:4" ht="15" customHeight="1" x14ac:dyDescent="0.3">
      <c r="A12" s="31" t="s">
        <v>63</v>
      </c>
      <c r="C12" s="8"/>
      <c r="D12" s="32">
        <v>0.4</v>
      </c>
    </row>
    <row r="13" spans="1:4" ht="15" customHeight="1" x14ac:dyDescent="0.3">
      <c r="A13" s="31" t="s">
        <v>64</v>
      </c>
      <c r="C13" s="8"/>
      <c r="D13" s="10">
        <f>D11*(1-D12)</f>
        <v>151785714285.71426</v>
      </c>
    </row>
    <row r="14" spans="1:4" ht="15" customHeight="1" x14ac:dyDescent="0.3">
      <c r="A14" s="26" t="s">
        <v>61</v>
      </c>
      <c r="C14" s="8"/>
      <c r="D14" s="10">
        <v>82500000</v>
      </c>
    </row>
    <row r="15" spans="1:4" ht="15" customHeight="1" x14ac:dyDescent="0.3">
      <c r="A15" s="26" t="s">
        <v>62</v>
      </c>
      <c r="C15" s="8"/>
      <c r="D15" s="10">
        <f>D13/D14</f>
        <v>1839.8268398268397</v>
      </c>
    </row>
    <row r="16" spans="1:4" ht="15" customHeight="1" x14ac:dyDescent="0.3">
      <c r="A16" s="31"/>
      <c r="C16" s="8"/>
      <c r="D16" s="30"/>
    </row>
    <row r="17" spans="1:4" ht="15" customHeight="1" x14ac:dyDescent="0.3">
      <c r="A17" s="26"/>
      <c r="B17" s="10"/>
      <c r="C17" s="8"/>
    </row>
    <row r="18" spans="1:4" ht="30.75" customHeight="1" x14ac:dyDescent="0.3">
      <c r="A18" s="9" t="s">
        <v>52</v>
      </c>
      <c r="B18" s="8" t="s">
        <v>8</v>
      </c>
      <c r="C18" s="4" t="s">
        <v>9</v>
      </c>
      <c r="D18" s="4" t="s">
        <v>25</v>
      </c>
    </row>
    <row r="19" spans="1:4" x14ac:dyDescent="0.3">
      <c r="A19" s="8" t="s">
        <v>10</v>
      </c>
    </row>
    <row r="20" spans="1:4" x14ac:dyDescent="0.3">
      <c r="A20" s="8" t="s">
        <v>5</v>
      </c>
      <c r="B20" s="10">
        <f>B$23*0.65</f>
        <v>1196</v>
      </c>
      <c r="C20">
        <v>90</v>
      </c>
      <c r="D20" s="2">
        <f>B20*C20/1000</f>
        <v>107.64</v>
      </c>
    </row>
    <row r="21" spans="1:4" x14ac:dyDescent="0.3">
      <c r="A21" s="8" t="s">
        <v>6</v>
      </c>
      <c r="B21" s="10">
        <f>B$23*0.2</f>
        <v>368</v>
      </c>
      <c r="C21" s="8">
        <v>119</v>
      </c>
      <c r="D21" s="2">
        <f>B21*C21/1000</f>
        <v>43.792000000000002</v>
      </c>
    </row>
    <row r="22" spans="1:4" x14ac:dyDescent="0.3">
      <c r="A22" s="8" t="s">
        <v>7</v>
      </c>
      <c r="B22" s="10">
        <f>B$23*0.15</f>
        <v>276</v>
      </c>
      <c r="C22" s="8">
        <v>188</v>
      </c>
      <c r="D22" s="2">
        <f>B22*C22/1000</f>
        <v>51.887999999999998</v>
      </c>
    </row>
    <row r="23" spans="1:4" s="5" customFormat="1" x14ac:dyDescent="0.3">
      <c r="A23" s="9" t="s">
        <v>0</v>
      </c>
      <c r="B23" s="13">
        <v>1840</v>
      </c>
      <c r="C23" s="23">
        <f>D23*1000/B23</f>
        <v>110.50000000000001</v>
      </c>
      <c r="D23" s="19">
        <f>SUM(D20:D22)</f>
        <v>203.32000000000002</v>
      </c>
    </row>
    <row r="24" spans="1:4" x14ac:dyDescent="0.3">
      <c r="A24" s="8"/>
      <c r="B24" s="10"/>
      <c r="C24" s="8"/>
    </row>
    <row r="25" spans="1:4" s="5" customFormat="1" x14ac:dyDescent="0.3">
      <c r="A25" s="9" t="s">
        <v>53</v>
      </c>
      <c r="B25" s="18"/>
      <c r="C25" s="9"/>
      <c r="D25" s="19">
        <f>D23*1.7</f>
        <v>345.64400000000001</v>
      </c>
    </row>
    <row r="26" spans="1:4" x14ac:dyDescent="0.3">
      <c r="A26" s="8"/>
      <c r="B26" s="12"/>
      <c r="C26" s="8"/>
    </row>
    <row r="27" spans="1:4" x14ac:dyDescent="0.3">
      <c r="A27" s="9" t="s">
        <v>67</v>
      </c>
      <c r="B27" s="11"/>
      <c r="C27" s="8"/>
      <c r="D27" s="5"/>
    </row>
    <row r="28" spans="1:4" s="17" customFormat="1" x14ac:dyDescent="0.3">
      <c r="A28" s="15" t="s">
        <v>11</v>
      </c>
      <c r="B28" s="16"/>
      <c r="C28" s="15"/>
    </row>
    <row r="29" spans="1:4" s="17" customFormat="1" x14ac:dyDescent="0.3">
      <c r="A29" t="s">
        <v>14</v>
      </c>
      <c r="B29" s="10">
        <v>500000000</v>
      </c>
      <c r="C29" t="s">
        <v>12</v>
      </c>
    </row>
    <row r="30" spans="1:4" s="17" customFormat="1" x14ac:dyDescent="0.3">
      <c r="A30" t="s">
        <v>16</v>
      </c>
      <c r="B30">
        <v>300</v>
      </c>
      <c r="C30" t="s">
        <v>15</v>
      </c>
    </row>
    <row r="31" spans="1:4" s="17" customFormat="1" x14ac:dyDescent="0.3">
      <c r="A31" t="s">
        <v>22</v>
      </c>
      <c r="B31" s="10">
        <f>B29*B30/1000000</f>
        <v>150000</v>
      </c>
      <c r="C31" t="s">
        <v>3</v>
      </c>
    </row>
    <row r="32" spans="1:4" x14ac:dyDescent="0.3">
      <c r="A32" t="s">
        <v>21</v>
      </c>
      <c r="B32" s="10">
        <v>1300000</v>
      </c>
      <c r="C32" t="s">
        <v>18</v>
      </c>
    </row>
    <row r="33" spans="1:4" x14ac:dyDescent="0.3">
      <c r="A33" t="s">
        <v>19</v>
      </c>
      <c r="B33">
        <v>7</v>
      </c>
      <c r="C33" t="s">
        <v>20</v>
      </c>
    </row>
    <row r="34" spans="1:4" x14ac:dyDescent="0.3">
      <c r="A34"/>
      <c r="B34" s="10">
        <f>B32*B33/1000</f>
        <v>9100</v>
      </c>
      <c r="C34" t="s">
        <v>3</v>
      </c>
    </row>
    <row r="35" spans="1:4" x14ac:dyDescent="0.3">
      <c r="A35" t="s">
        <v>17</v>
      </c>
      <c r="B35" s="20">
        <v>0.53</v>
      </c>
      <c r="C35"/>
    </row>
    <row r="36" spans="1:4" s="17" customFormat="1" x14ac:dyDescent="0.3">
      <c r="A36" t="s">
        <v>23</v>
      </c>
      <c r="B36" s="10">
        <f>(B31+B34)/B35</f>
        <v>300188.67924528301</v>
      </c>
      <c r="C36" t="s">
        <v>3</v>
      </c>
    </row>
    <row r="37" spans="1:4" s="5" customFormat="1" x14ac:dyDescent="0.3">
      <c r="A37"/>
      <c r="B37" s="10">
        <v>8400000</v>
      </c>
      <c r="C37" t="s">
        <v>13</v>
      </c>
      <c r="D37" s="19"/>
    </row>
    <row r="38" spans="1:4" x14ac:dyDescent="0.3">
      <c r="A38" s="5" t="s">
        <v>54</v>
      </c>
      <c r="C38" s="5"/>
      <c r="D38" s="19">
        <f>B36/B37*1000</f>
        <v>35.736747529200358</v>
      </c>
    </row>
    <row r="39" spans="1:4" x14ac:dyDescent="0.3">
      <c r="A39" s="8"/>
      <c r="B39" s="11"/>
      <c r="C39" s="8"/>
    </row>
    <row r="40" spans="1:4" x14ac:dyDescent="0.3">
      <c r="A40" s="5" t="s">
        <v>55</v>
      </c>
      <c r="C40" s="5"/>
      <c r="D40" s="19">
        <v>10</v>
      </c>
    </row>
    <row r="42" spans="1:4" s="5" customFormat="1" x14ac:dyDescent="0.3">
      <c r="A42" s="14" t="s">
        <v>24</v>
      </c>
      <c r="B42" s="14"/>
      <c r="C42" s="14"/>
      <c r="D42" s="19">
        <f>D23+D25+D38+D40</f>
        <v>594.70074752920038</v>
      </c>
    </row>
    <row r="44" spans="1:4" x14ac:dyDescent="0.3">
      <c r="A44" s="4" t="s">
        <v>1</v>
      </c>
      <c r="B44" s="2"/>
      <c r="C44"/>
    </row>
    <row r="45" spans="1:4" x14ac:dyDescent="0.3">
      <c r="A45"/>
      <c r="B45"/>
      <c r="C45"/>
    </row>
    <row r="46" spans="1:4" x14ac:dyDescent="0.3">
      <c r="A46" s="5"/>
      <c r="B46" s="21"/>
      <c r="C46" s="5"/>
    </row>
  </sheetData>
  <mergeCells count="1">
    <mergeCell ref="A4:D4"/>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I4" sqref="I4:I6"/>
    </sheetView>
  </sheetViews>
  <sheetFormatPr baseColWidth="10" defaultColWidth="13.109375" defaultRowHeight="14.4" x14ac:dyDescent="0.3"/>
  <cols>
    <col min="1" max="1" width="29.5546875" bestFit="1" customWidth="1"/>
    <col min="2" max="2" width="20" bestFit="1" customWidth="1"/>
    <col min="3" max="3" width="12.6640625" customWidth="1"/>
    <col min="4" max="4" width="14.5546875" customWidth="1"/>
    <col min="5" max="5" width="19.33203125" customWidth="1"/>
    <col min="6" max="6" width="19" customWidth="1"/>
    <col min="7" max="7" width="18.6640625" customWidth="1"/>
    <col min="8" max="8" width="14.6640625" customWidth="1"/>
    <col min="10" max="10" width="15.88671875" customWidth="1"/>
  </cols>
  <sheetData>
    <row r="1" spans="1:16" s="4" customFormat="1" x14ac:dyDescent="0.3"/>
    <row r="2" spans="1:16" s="4" customFormat="1" x14ac:dyDescent="0.3">
      <c r="A2"/>
      <c r="B2"/>
      <c r="C2"/>
      <c r="D2"/>
      <c r="E2"/>
      <c r="F2"/>
      <c r="G2"/>
      <c r="H2" s="1"/>
      <c r="I2"/>
      <c r="J2" s="3"/>
      <c r="K2"/>
      <c r="L2"/>
      <c r="M2"/>
      <c r="N2"/>
      <c r="O2" s="3"/>
      <c r="P2"/>
    </row>
    <row r="3" spans="1:16" ht="43.2" x14ac:dyDescent="0.3">
      <c r="A3" s="9" t="s">
        <v>27</v>
      </c>
      <c r="B3" s="8" t="s">
        <v>28</v>
      </c>
      <c r="C3" s="4" t="s">
        <v>30</v>
      </c>
      <c r="D3" s="4" t="s">
        <v>48</v>
      </c>
      <c r="E3" s="4" t="s">
        <v>31</v>
      </c>
      <c r="F3" s="4" t="s">
        <v>37</v>
      </c>
      <c r="G3" s="4" t="s">
        <v>34</v>
      </c>
      <c r="H3" s="4" t="s">
        <v>33</v>
      </c>
      <c r="I3" s="4" t="s">
        <v>66</v>
      </c>
      <c r="J3" s="4" t="s">
        <v>65</v>
      </c>
      <c r="O3" s="3"/>
    </row>
    <row r="4" spans="1:16" x14ac:dyDescent="0.3">
      <c r="A4" s="8" t="s">
        <v>26</v>
      </c>
      <c r="B4" s="8" t="s">
        <v>29</v>
      </c>
      <c r="C4" s="10">
        <v>8800</v>
      </c>
      <c r="D4" s="10">
        <f>C4*2</f>
        <v>17600</v>
      </c>
      <c r="E4" s="22">
        <v>3.57</v>
      </c>
      <c r="F4" s="2">
        <v>90</v>
      </c>
      <c r="G4" s="2">
        <f>F4*2.7</f>
        <v>243.00000000000003</v>
      </c>
      <c r="H4" s="10">
        <f>D4*G4/1000</f>
        <v>4276.8000000000011</v>
      </c>
      <c r="I4" s="2">
        <f>H4*0.08</f>
        <v>342.14400000000012</v>
      </c>
      <c r="J4" s="33">
        <f>H4+I4</f>
        <v>4618.9440000000013</v>
      </c>
      <c r="O4" s="3"/>
    </row>
    <row r="5" spans="1:16" x14ac:dyDescent="0.3">
      <c r="A5" s="8" t="s">
        <v>6</v>
      </c>
      <c r="B5" s="8" t="s">
        <v>32</v>
      </c>
      <c r="C5" s="10">
        <v>1500</v>
      </c>
      <c r="D5" s="10">
        <f>C5*2</f>
        <v>3000</v>
      </c>
      <c r="E5" s="22">
        <v>4.7300000000000004</v>
      </c>
      <c r="F5" s="2">
        <v>119</v>
      </c>
      <c r="G5" s="2">
        <f t="shared" ref="G5:G6" si="0">F5*2.7</f>
        <v>321.3</v>
      </c>
      <c r="H5" s="10">
        <f>D5*G5/1000</f>
        <v>963.9</v>
      </c>
      <c r="I5" s="2">
        <f t="shared" ref="I5:I6" si="1">H5*0.08</f>
        <v>77.111999999999995</v>
      </c>
      <c r="J5" s="33">
        <f t="shared" ref="J5:J6" si="2">H5+I5</f>
        <v>1041.0119999999999</v>
      </c>
    </row>
    <row r="6" spans="1:16" x14ac:dyDescent="0.3">
      <c r="A6" s="8" t="s">
        <v>7</v>
      </c>
      <c r="B6" s="8" t="s">
        <v>35</v>
      </c>
      <c r="C6" s="10">
        <v>600</v>
      </c>
      <c r="D6" s="10">
        <f>C6*2</f>
        <v>1200</v>
      </c>
      <c r="E6" s="22">
        <v>7.46</v>
      </c>
      <c r="F6" s="2">
        <v>188</v>
      </c>
      <c r="G6" s="2">
        <f t="shared" si="0"/>
        <v>507.6</v>
      </c>
      <c r="H6" s="10">
        <f>D6*G6/1000</f>
        <v>609.12</v>
      </c>
      <c r="I6" s="2">
        <f t="shared" si="1"/>
        <v>48.729600000000005</v>
      </c>
      <c r="J6" s="33">
        <f t="shared" si="2"/>
        <v>657.84960000000001</v>
      </c>
    </row>
    <row r="7" spans="1:16" x14ac:dyDescent="0.3">
      <c r="A7" s="9"/>
      <c r="B7" s="9"/>
      <c r="C7" s="13"/>
      <c r="D7" s="13"/>
      <c r="E7" s="13"/>
      <c r="F7" s="14"/>
      <c r="G7" s="14"/>
      <c r="H7" s="5"/>
      <c r="I7" s="7"/>
      <c r="J7" s="6"/>
    </row>
    <row r="8" spans="1:16" ht="30" customHeight="1" x14ac:dyDescent="0.3">
      <c r="A8" s="36" t="s">
        <v>36</v>
      </c>
      <c r="B8" s="36"/>
      <c r="C8" s="36"/>
      <c r="D8" s="36"/>
      <c r="E8" s="36"/>
      <c r="F8" s="36"/>
      <c r="G8" s="36"/>
      <c r="H8" s="36"/>
      <c r="I8" s="36"/>
      <c r="J8" s="36"/>
    </row>
    <row r="9" spans="1:16" x14ac:dyDescent="0.3">
      <c r="I9" s="3"/>
      <c r="J9" s="1"/>
    </row>
    <row r="10" spans="1:16" x14ac:dyDescent="0.3">
      <c r="I10" s="3"/>
      <c r="J10" s="1"/>
    </row>
    <row r="11" spans="1:16" x14ac:dyDescent="0.3">
      <c r="I11" s="3"/>
      <c r="J11" s="1"/>
    </row>
    <row r="12" spans="1:16" x14ac:dyDescent="0.3">
      <c r="I12" s="3"/>
      <c r="J12" s="1"/>
    </row>
    <row r="13" spans="1:16" x14ac:dyDescent="0.3">
      <c r="I13" s="3"/>
      <c r="J13" s="1"/>
    </row>
    <row r="14" spans="1:16" x14ac:dyDescent="0.3">
      <c r="C14" s="5"/>
      <c r="D14" s="5"/>
      <c r="E14" s="5"/>
      <c r="F14" s="5"/>
      <c r="G14" s="5"/>
      <c r="H14" s="5"/>
      <c r="I14" s="7"/>
      <c r="J14" s="6"/>
    </row>
    <row r="15" spans="1:16" x14ac:dyDescent="0.3">
      <c r="I15" s="3"/>
    </row>
    <row r="16" spans="1:16" x14ac:dyDescent="0.3">
      <c r="I16" s="3"/>
      <c r="J16" s="1"/>
    </row>
    <row r="17" spans="3:10" x14ac:dyDescent="0.3">
      <c r="I17" s="3"/>
      <c r="J17" s="1"/>
    </row>
    <row r="18" spans="3:10" x14ac:dyDescent="0.3">
      <c r="I18" s="3"/>
      <c r="J18" s="1"/>
    </row>
    <row r="19" spans="3:10" x14ac:dyDescent="0.3">
      <c r="I19" s="3"/>
      <c r="J19" s="1"/>
    </row>
    <row r="20" spans="3:10" x14ac:dyDescent="0.3">
      <c r="I20" s="3"/>
      <c r="J20" s="1"/>
    </row>
    <row r="21" spans="3:10" x14ac:dyDescent="0.3">
      <c r="I21" s="3"/>
      <c r="J21" s="1"/>
    </row>
    <row r="22" spans="3:10" x14ac:dyDescent="0.3">
      <c r="C22" s="5"/>
      <c r="D22" s="5"/>
      <c r="E22" s="5"/>
      <c r="F22" s="5"/>
      <c r="G22" s="5"/>
      <c r="H22" s="5"/>
      <c r="I22" s="7"/>
      <c r="J22" s="6"/>
    </row>
    <row r="23" spans="3:10" x14ac:dyDescent="0.3">
      <c r="I23" s="3"/>
    </row>
    <row r="24" spans="3:10" x14ac:dyDescent="0.3">
      <c r="I24" s="3"/>
      <c r="J24" s="1"/>
    </row>
    <row r="25" spans="3:10" x14ac:dyDescent="0.3">
      <c r="I25" s="3"/>
      <c r="J25" s="1"/>
    </row>
    <row r="26" spans="3:10" x14ac:dyDescent="0.3">
      <c r="I26" s="3"/>
      <c r="J26" s="1"/>
    </row>
    <row r="27" spans="3:10" x14ac:dyDescent="0.3">
      <c r="I27" s="3"/>
      <c r="J27" s="1"/>
    </row>
    <row r="28" spans="3:10" x14ac:dyDescent="0.3">
      <c r="C28" s="5"/>
      <c r="D28" s="5"/>
      <c r="E28" s="5"/>
      <c r="F28" s="5"/>
      <c r="G28" s="5"/>
      <c r="H28" s="5"/>
      <c r="I28" s="5"/>
      <c r="J28" s="6"/>
    </row>
  </sheetData>
  <mergeCells count="1">
    <mergeCell ref="A8:J8"/>
  </mergeCells>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3"/>
  <sheetViews>
    <sheetView tabSelected="1" workbookViewId="0">
      <selection activeCell="J4" sqref="J4"/>
    </sheetView>
  </sheetViews>
  <sheetFormatPr baseColWidth="10" defaultRowHeight="14.4" x14ac:dyDescent="0.3"/>
  <cols>
    <col min="1" max="1" width="21.109375" customWidth="1"/>
    <col min="2" max="2" width="32" bestFit="1" customWidth="1"/>
    <col min="3" max="3" width="13.109375" customWidth="1"/>
    <col min="4" max="4" width="15" customWidth="1"/>
    <col min="5" max="5" width="19.33203125" customWidth="1"/>
    <col min="6" max="6" width="19.109375" customWidth="1"/>
    <col min="7" max="7" width="17" customWidth="1"/>
    <col min="9" max="9" width="12.5546875" customWidth="1"/>
    <col min="10" max="10" width="15.5546875" customWidth="1"/>
  </cols>
  <sheetData>
    <row r="2" spans="1:10" ht="43.2" x14ac:dyDescent="0.3">
      <c r="A2" s="4" t="s">
        <v>2</v>
      </c>
      <c r="B2" s="8" t="s">
        <v>28</v>
      </c>
      <c r="C2" s="4" t="s">
        <v>30</v>
      </c>
      <c r="D2" s="4" t="s">
        <v>48</v>
      </c>
      <c r="E2" s="4" t="s">
        <v>31</v>
      </c>
      <c r="F2" s="4" t="s">
        <v>37</v>
      </c>
      <c r="G2" s="4" t="s">
        <v>34</v>
      </c>
      <c r="H2" s="4" t="s">
        <v>33</v>
      </c>
      <c r="I2" s="4" t="s">
        <v>66</v>
      </c>
      <c r="J2" s="4" t="s">
        <v>65</v>
      </c>
    </row>
    <row r="3" spans="1:10" x14ac:dyDescent="0.3">
      <c r="A3" s="4"/>
    </row>
    <row r="4" spans="1:10" x14ac:dyDescent="0.3">
      <c r="A4" t="s">
        <v>38</v>
      </c>
      <c r="B4" s="8" t="s">
        <v>39</v>
      </c>
      <c r="C4" s="10">
        <v>6000</v>
      </c>
      <c r="D4" s="10">
        <f>C4*2</f>
        <v>12000</v>
      </c>
      <c r="E4" s="22">
        <v>3.57</v>
      </c>
      <c r="F4" s="2">
        <f>E4*2.52*10</f>
        <v>89.963999999999999</v>
      </c>
      <c r="G4" s="2">
        <f>F4*2.7</f>
        <v>242.90280000000001</v>
      </c>
      <c r="H4" s="10">
        <f>D4*G4/1000</f>
        <v>2914.8335999999999</v>
      </c>
      <c r="I4" s="19">
        <f t="shared" ref="I4:I7" si="0">H4*0.08</f>
        <v>233.186688</v>
      </c>
      <c r="J4" s="34">
        <f t="shared" ref="J4:J7" si="1">H4+I4</f>
        <v>3148.0202879999997</v>
      </c>
    </row>
    <row r="5" spans="1:10" x14ac:dyDescent="0.3">
      <c r="B5" s="8" t="s">
        <v>40</v>
      </c>
      <c r="C5" s="10">
        <v>600</v>
      </c>
      <c r="D5" s="10">
        <f>C5*2</f>
        <v>1200</v>
      </c>
      <c r="E5" s="22">
        <v>7.46</v>
      </c>
      <c r="F5" s="2">
        <f t="shared" ref="F5:F7" si="2">E5*2.52*10</f>
        <v>187.99199999999999</v>
      </c>
      <c r="G5" s="2">
        <f t="shared" ref="G5:G7" si="3">F5*2.7</f>
        <v>507.57839999999999</v>
      </c>
      <c r="H5" s="10">
        <f>D5*G5/1000</f>
        <v>609.09407999999996</v>
      </c>
      <c r="I5" s="19">
        <f t="shared" si="0"/>
        <v>48.727526399999995</v>
      </c>
      <c r="J5" s="34">
        <f t="shared" si="1"/>
        <v>657.82160639999995</v>
      </c>
    </row>
    <row r="6" spans="1:10" x14ac:dyDescent="0.3">
      <c r="B6" s="8" t="s">
        <v>41</v>
      </c>
      <c r="C6" s="10">
        <v>600</v>
      </c>
      <c r="D6" s="10">
        <f>C6*2</f>
        <v>1200</v>
      </c>
      <c r="E6" s="22">
        <v>7.46</v>
      </c>
      <c r="F6" s="2">
        <f t="shared" si="2"/>
        <v>187.99199999999999</v>
      </c>
      <c r="G6" s="2">
        <f t="shared" si="3"/>
        <v>507.57839999999999</v>
      </c>
      <c r="H6" s="10">
        <f>D6*G6/1000</f>
        <v>609.09407999999996</v>
      </c>
      <c r="I6" s="19">
        <f t="shared" si="0"/>
        <v>48.727526399999995</v>
      </c>
      <c r="J6" s="34">
        <f t="shared" si="1"/>
        <v>657.82160639999995</v>
      </c>
    </row>
    <row r="7" spans="1:10" x14ac:dyDescent="0.3">
      <c r="B7" s="8" t="s">
        <v>42</v>
      </c>
      <c r="C7" s="10">
        <v>600</v>
      </c>
      <c r="D7" s="10">
        <f>C7*2</f>
        <v>1200</v>
      </c>
      <c r="E7" s="22">
        <v>7.46</v>
      </c>
      <c r="F7" s="2">
        <f t="shared" si="2"/>
        <v>187.99199999999999</v>
      </c>
      <c r="G7" s="2">
        <f t="shared" si="3"/>
        <v>507.57839999999999</v>
      </c>
      <c r="H7" s="10">
        <f>D7*G7/1000</f>
        <v>609.09407999999996</v>
      </c>
      <c r="I7" s="19">
        <f t="shared" si="0"/>
        <v>48.727526399999995</v>
      </c>
      <c r="J7" s="34">
        <f t="shared" si="1"/>
        <v>657.82160639999995</v>
      </c>
    </row>
    <row r="8" spans="1:10" x14ac:dyDescent="0.3">
      <c r="B8" s="9" t="s">
        <v>0</v>
      </c>
      <c r="C8" s="13"/>
      <c r="D8" s="13"/>
      <c r="E8" s="24"/>
      <c r="F8" s="19"/>
      <c r="G8" s="19"/>
      <c r="H8" s="13">
        <f>SUM(H4:H7)</f>
        <v>4742.1158399999995</v>
      </c>
      <c r="I8" s="19">
        <f>H8*0.08</f>
        <v>379.36926719999997</v>
      </c>
      <c r="J8" s="34">
        <f>H8+I8</f>
        <v>5121.4851071999992</v>
      </c>
    </row>
    <row r="9" spans="1:10" x14ac:dyDescent="0.3">
      <c r="E9" s="3"/>
      <c r="I9" s="5"/>
      <c r="J9" s="5"/>
    </row>
    <row r="10" spans="1:10" x14ac:dyDescent="0.3">
      <c r="A10" t="s">
        <v>43</v>
      </c>
      <c r="B10" t="s">
        <v>44</v>
      </c>
      <c r="C10">
        <v>1500</v>
      </c>
      <c r="D10" s="10">
        <f>C10*2</f>
        <v>3000</v>
      </c>
      <c r="E10" s="22">
        <v>4.7300000000000004</v>
      </c>
      <c r="F10" s="2">
        <f t="shared" ref="F10:F12" si="4">E10*2.52*10</f>
        <v>119.19600000000001</v>
      </c>
      <c r="G10" s="2">
        <f t="shared" ref="G10:G12" si="5">F10*2.7</f>
        <v>321.82920000000007</v>
      </c>
      <c r="H10" s="10">
        <f>D10*G10/1000</f>
        <v>965.48760000000016</v>
      </c>
      <c r="I10" s="5"/>
      <c r="J10" s="5"/>
    </row>
    <row r="11" spans="1:10" x14ac:dyDescent="0.3">
      <c r="B11" s="8" t="s">
        <v>40</v>
      </c>
      <c r="C11">
        <v>600</v>
      </c>
      <c r="D11" s="10">
        <f>C11*2</f>
        <v>1200</v>
      </c>
      <c r="E11" s="22">
        <v>7.46</v>
      </c>
      <c r="F11" s="2">
        <f t="shared" si="4"/>
        <v>187.99199999999999</v>
      </c>
      <c r="G11" s="2">
        <f t="shared" si="5"/>
        <v>507.57839999999999</v>
      </c>
      <c r="H11" s="10">
        <f>D11*G11/1000</f>
        <v>609.09407999999996</v>
      </c>
      <c r="I11" s="5"/>
      <c r="J11" s="5"/>
    </row>
    <row r="12" spans="1:10" x14ac:dyDescent="0.3">
      <c r="B12" s="8" t="s">
        <v>41</v>
      </c>
      <c r="C12">
        <v>600</v>
      </c>
      <c r="D12" s="10">
        <f>C12*2</f>
        <v>1200</v>
      </c>
      <c r="E12" s="22">
        <v>7.46</v>
      </c>
      <c r="F12" s="2">
        <f t="shared" si="4"/>
        <v>187.99199999999999</v>
      </c>
      <c r="G12" s="2">
        <f t="shared" si="5"/>
        <v>507.57839999999999</v>
      </c>
      <c r="H12" s="10">
        <f>D12*G12/1000</f>
        <v>609.09407999999996</v>
      </c>
      <c r="I12" s="5"/>
      <c r="J12" s="5"/>
    </row>
    <row r="13" spans="1:10" x14ac:dyDescent="0.3">
      <c r="B13" s="9" t="s">
        <v>0</v>
      </c>
      <c r="C13" s="13"/>
      <c r="D13" s="13"/>
      <c r="E13" s="24"/>
      <c r="F13" s="19"/>
      <c r="G13" s="19"/>
      <c r="H13" s="13">
        <f>SUM(H10:H12)</f>
        <v>2183.6757600000001</v>
      </c>
      <c r="I13" s="19">
        <f>H13*0.08</f>
        <v>174.69406080000002</v>
      </c>
      <c r="J13" s="34">
        <f>H13+I13</f>
        <v>2358.3698208000001</v>
      </c>
    </row>
    <row r="14" spans="1:10" x14ac:dyDescent="0.3">
      <c r="E14" s="3"/>
      <c r="I14" s="5"/>
      <c r="J14" s="5"/>
    </row>
    <row r="15" spans="1:10" x14ac:dyDescent="0.3">
      <c r="A15" t="s">
        <v>45</v>
      </c>
      <c r="B15" t="s">
        <v>44</v>
      </c>
      <c r="C15">
        <v>1500</v>
      </c>
      <c r="D15" s="10">
        <f>C15*2</f>
        <v>3000</v>
      </c>
      <c r="E15" s="22">
        <v>4.7300000000000004</v>
      </c>
      <c r="F15" s="2">
        <f>E15*2.52*10</f>
        <v>119.19600000000001</v>
      </c>
      <c r="G15" s="2">
        <f t="shared" ref="G15" si="6">F15*2.7</f>
        <v>321.82920000000007</v>
      </c>
      <c r="H15" s="10">
        <f>D15*G15/1000</f>
        <v>965.48760000000016</v>
      </c>
      <c r="I15" s="5"/>
      <c r="J15" s="5"/>
    </row>
    <row r="16" spans="1:10" x14ac:dyDescent="0.3">
      <c r="B16" s="9" t="s">
        <v>0</v>
      </c>
      <c r="C16" s="13"/>
      <c r="D16" s="13"/>
      <c r="E16" s="24"/>
      <c r="F16" s="19"/>
      <c r="G16" s="19"/>
      <c r="H16" s="13">
        <f>H15</f>
        <v>965.48760000000016</v>
      </c>
      <c r="I16" s="19">
        <f>H16*0.08</f>
        <v>77.239008000000013</v>
      </c>
      <c r="J16" s="34">
        <f>H16+I16</f>
        <v>1042.7266080000002</v>
      </c>
    </row>
    <row r="17" spans="1:10" x14ac:dyDescent="0.3">
      <c r="D17" s="10"/>
      <c r="E17" s="22"/>
      <c r="F17" s="2"/>
      <c r="G17" s="2"/>
      <c r="H17" s="10"/>
      <c r="I17" s="5"/>
      <c r="J17" s="5"/>
    </row>
    <row r="18" spans="1:10" x14ac:dyDescent="0.3">
      <c r="A18" t="s">
        <v>46</v>
      </c>
      <c r="B18" t="s">
        <v>47</v>
      </c>
      <c r="C18">
        <v>150</v>
      </c>
      <c r="D18" s="10">
        <f>C18*2</f>
        <v>300</v>
      </c>
      <c r="E18" s="22">
        <v>4.7300000000000004</v>
      </c>
      <c r="F18" s="2">
        <f>E18*2.52*10</f>
        <v>119.19600000000001</v>
      </c>
      <c r="G18" s="2">
        <f t="shared" ref="G18" si="7">F18*2.7</f>
        <v>321.82920000000007</v>
      </c>
      <c r="H18" s="10">
        <f>D18*G18/1000</f>
        <v>96.54876000000003</v>
      </c>
      <c r="I18" s="5"/>
      <c r="J18" s="5"/>
    </row>
    <row r="19" spans="1:10" x14ac:dyDescent="0.3">
      <c r="B19" s="9" t="s">
        <v>0</v>
      </c>
      <c r="C19" s="13"/>
      <c r="D19" s="13"/>
      <c r="E19" s="24"/>
      <c r="F19" s="19"/>
      <c r="G19" s="19"/>
      <c r="H19" s="13">
        <f>H18</f>
        <v>96.54876000000003</v>
      </c>
      <c r="I19" s="19">
        <f>H19*0.08</f>
        <v>7.7239008000000027</v>
      </c>
      <c r="J19" s="34">
        <f>H19+I19</f>
        <v>104.27266080000004</v>
      </c>
    </row>
    <row r="20" spans="1:10" x14ac:dyDescent="0.3">
      <c r="D20" s="10"/>
      <c r="E20" s="22"/>
      <c r="F20" s="2"/>
      <c r="G20" s="2"/>
      <c r="H20" s="10"/>
    </row>
    <row r="21" spans="1:10" x14ac:dyDescent="0.3">
      <c r="D21" s="10"/>
      <c r="E21" s="22"/>
      <c r="F21" s="2"/>
      <c r="G21" s="2"/>
      <c r="H21" s="10"/>
    </row>
    <row r="22" spans="1:10" x14ac:dyDescent="0.3">
      <c r="E22" s="3"/>
      <c r="F22" s="1"/>
    </row>
    <row r="23" spans="1:10" x14ac:dyDescent="0.3">
      <c r="E23" s="3"/>
      <c r="F23" s="1"/>
    </row>
    <row r="24" spans="1:10" x14ac:dyDescent="0.3">
      <c r="E24" s="3"/>
      <c r="F24" s="1"/>
    </row>
    <row r="25" spans="1:10" x14ac:dyDescent="0.3">
      <c r="E25" s="3"/>
      <c r="F25" s="1"/>
    </row>
    <row r="26" spans="1:10" x14ac:dyDescent="0.3">
      <c r="E26" s="3"/>
      <c r="F26" s="1"/>
    </row>
    <row r="27" spans="1:10" x14ac:dyDescent="0.3">
      <c r="B27" s="5"/>
      <c r="C27" s="5"/>
      <c r="D27" s="5"/>
      <c r="E27" s="7"/>
      <c r="F27" s="6"/>
    </row>
    <row r="28" spans="1:10" x14ac:dyDescent="0.3">
      <c r="E28" s="3"/>
    </row>
    <row r="29" spans="1:10" x14ac:dyDescent="0.3">
      <c r="E29" s="3"/>
      <c r="F29" s="1"/>
    </row>
    <row r="30" spans="1:10" x14ac:dyDescent="0.3">
      <c r="E30" s="3"/>
      <c r="F30" s="1"/>
    </row>
    <row r="31" spans="1:10" x14ac:dyDescent="0.3">
      <c r="E31" s="3"/>
      <c r="F31" s="1"/>
    </row>
    <row r="32" spans="1:10" x14ac:dyDescent="0.3">
      <c r="E32" s="3"/>
      <c r="F32" s="1"/>
    </row>
    <row r="33" spans="2:6" x14ac:dyDescent="0.3">
      <c r="B33" s="5"/>
      <c r="C33" s="5"/>
      <c r="D33" s="5"/>
      <c r="E33" s="5"/>
      <c r="F33" s="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Emission gesamt</vt:lpstr>
      <vt:lpstr>Kurz- Mittel- und Langstrecken</vt:lpstr>
      <vt:lpstr>Flugverhalten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Christof Drexel</dc:creator>
  <cp:lastModifiedBy>Simon Schneider</cp:lastModifiedBy>
  <dcterms:created xsi:type="dcterms:W3CDTF">2018-03-26T08:35:40Z</dcterms:created>
  <dcterms:modified xsi:type="dcterms:W3CDTF">2020-06-12T19:11:57Z</dcterms:modified>
</cp:coreProperties>
</file>